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17" sheetId="11" r:id="rId11"/>
    <sheet name="грудень" sheetId="12" r:id="rId12"/>
  </sheets>
  <externalReferences>
    <externalReference r:id="rId15"/>
  </externalReferences>
  <definedNames>
    <definedName name="_xlnm.Print_Titles" localSheetId="2">'вересень'!$3:$6</definedName>
    <definedName name="_xlnm.Print_Titles" localSheetId="1">'жовтень'!$3:$5</definedName>
  </definedNames>
  <calcPr fullCalcOnLoad="1"/>
</workbook>
</file>

<file path=xl/sharedStrings.xml><?xml version="1.0" encoding="utf-8"?>
<sst xmlns="http://schemas.openxmlformats.org/spreadsheetml/2006/main" count="1929" uniqueCount="281">
  <si>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</si>
  <si>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</si>
  <si>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</si>
  <si>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</si>
  <si>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</si>
  <si>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</si>
  <si>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</si>
  <si>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</si>
  <si>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</si>
  <si>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</si>
  <si>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</si>
  <si>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</si>
  <si>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</si>
  <si>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</si>
  <si>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</si>
  <si>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</si>
  <si>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</si>
  <si>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</si>
  <si>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</si>
  <si>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</si>
  <si>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</si>
  <si>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</si>
  <si>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</si>
  <si>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</si>
  <si>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</si>
  <si>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</si>
  <si>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</si>
  <si>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</si>
  <si>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</si>
  <si>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</si>
  <si>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</si>
  <si>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</si>
  <si>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</si>
  <si>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</si>
  <si>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</si>
  <si>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</si>
  <si>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</si>
  <si>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</si>
  <si>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</si>
  <si>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</si>
  <si>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</si>
  <si>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</si>
  <si>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</si>
  <si>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</si>
  <si>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</si>
  <si>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</si>
  <si>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</si>
  <si>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</si>
  <si>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</si>
  <si>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</si>
  <si>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</si>
  <si>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</si>
  <si>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</si>
  <si>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</si>
  <si>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</si>
  <si>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</si>
  <si>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</si>
  <si>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</si>
  <si>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</si>
  <si>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</si>
  <si>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</si>
  <si>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</si>
  <si>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</si>
  <si>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</si>
  <si>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</si>
  <si>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</si>
  <si>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</si>
  <si>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</si>
  <si>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</si>
  <si>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</si>
  <si>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</si>
  <si>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</si>
  <si>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</si>
  <si>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</si>
  <si>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</si>
  <si>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</si>
  <si>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</si>
  <si>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</si>
  <si>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</si>
  <si>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</si>
  <si>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</si>
  <si>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</si>
  <si>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</si>
  <si>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</si>
  <si>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</si>
  <si>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</si>
  <si>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</si>
  <si>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</si>
  <si>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</si>
  <si>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</si>
  <si>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</si>
  <si>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</si>
  <si>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</si>
  <si>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</si>
  <si>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</si>
  <si>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</si>
  <si>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</si>
  <si>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</si>
  <si>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</si>
  <si>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</si>
  <si>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</si>
  <si>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</si>
  <si>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</si>
  <si>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</si>
  <si>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</si>
  <si>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</si>
  <si>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</si>
  <si>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</si>
  <si>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</si>
  <si>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</si>
  <si>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</si>
  <si>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</si>
  <si>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</si>
  <si>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</si>
  <si>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</si>
  <si>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</si>
  <si>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</si>
  <si>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</si>
  <si>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</si>
  <si>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</si>
  <si>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</si>
  <si>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</si>
  <si>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</si>
  <si>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</si>
  <si>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</si>
  <si>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</si>
  <si>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</si>
  <si>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</si>
  <si>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</si>
  <si>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</si>
  <si>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</si>
  <si>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</si>
  <si>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</si>
  <si>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</si>
  <si>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</si>
  <si>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</si>
  <si>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</si>
  <si>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</si>
  <si>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</si>
  <si>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</si>
  <si>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</si>
  <si>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</si>
  <si>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</si>
  <si>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</si>
  <si>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</si>
  <si>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</si>
  <si>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</si>
  <si>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</si>
  <si>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</si>
  <si>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</si>
  <si>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</si>
  <si>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</si>
  <si>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</si>
  <si>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</si>
  <si>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</si>
  <si>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</si>
  <si>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</si>
  <si>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</si>
  <si>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</si>
  <si>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</si>
  <si>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</si>
  <si>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</si>
  <si>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</si>
  <si>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</si>
  <si>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</si>
  <si>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</si>
  <si>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</si>
  <si>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</si>
  <si>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</si>
  <si>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</si>
  <si>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</si>
  <si>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</si>
  <si>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</si>
  <si>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</si>
  <si>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</si>
  <si>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</si>
  <si>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</si>
  <si>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</si>
  <si>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</si>
  <si>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</si>
  <si>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</si>
  <si>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</si>
  <si>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</si>
  <si>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</si>
  <si>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</si>
  <si>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</si>
  <si>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</si>
  <si>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</si>
  <si>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</si>
  <si>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</si>
  <si>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</si>
  <si>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</si>
  <si>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</si>
  <si>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</si>
  <si>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</si>
  <si>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</si>
  <si>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</si>
  <si>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</si>
  <si>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</si>
  <si>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</si>
  <si>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</si>
  <si>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</si>
  <si>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</si>
  <si>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</si>
  <si>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</si>
  <si>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</si>
  <si>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</si>
  <si>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</si>
  <si>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</si>
  <si>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</si>
  <si>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</si>
  <si>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</si>
  <si>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</si>
  <si>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</si>
  <si>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</si>
  <si>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</si>
  <si>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</si>
  <si>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</si>
  <si>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</si>
  <si>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</si>
  <si>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</si>
  <si>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</si>
  <si>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</si>
  <si>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</si>
  <si>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</si>
  <si>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</si>
  <si>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</si>
  <si>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</si>
  <si>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</si>
  <si>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</si>
  <si>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</si>
  <si>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</si>
  <si>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</si>
  <si>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</si>
  <si>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</si>
  <si>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</si>
  <si>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</si>
  <si>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</si>
  <si>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</si>
  <si>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</si>
  <si>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</si>
  <si>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</si>
  <si>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</si>
  <si>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</si>
  <si>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</si>
  <si>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</si>
  <si>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</si>
  <si>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</si>
  <si>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</si>
  <si>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</si>
  <si>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</si>
  <si>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</si>
  <si>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</si>
  <si>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</si>
  <si>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</si>
  <si>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</si>
  <si>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</si>
  <si>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</si>
  <si>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</si>
  <si>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</si>
  <si>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</si>
  <si>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</si>
  <si>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</si>
  <si>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</si>
  <si>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</si>
  <si>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</si>
  <si>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</si>
  <si>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</si>
  <si>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</si>
  <si>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</si>
  <si>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</si>
  <si>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</si>
  <si>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</si>
  <si>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</si>
  <si>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</si>
  <si>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</si>
  <si>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</si>
  <si>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</si>
  <si>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</si>
  <si>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</si>
  <si>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24.11.17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</si>
</sst>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i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26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68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25" fillId="0" borderId="0">
      <alignment/>
      <protection/>
    </xf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5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5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7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5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7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5" fillId="0" borderId="0" xfId="55" applyNumberFormat="1" applyFont="1" applyProtection="1">
      <alignment/>
      <protection/>
    </xf>
    <xf numFmtId="182" fontId="88" fillId="0" borderId="0" xfId="55" applyNumberFormat="1" applyFont="1" applyProtection="1">
      <alignment/>
      <protection/>
    </xf>
    <xf numFmtId="182" fontId="87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Fill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9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8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90" fillId="0" borderId="0" xfId="0" applyNumberFormat="1" applyFont="1" applyAlignment="1" applyProtection="1">
      <alignment/>
      <protection/>
    </xf>
    <xf numFmtId="4" fontId="90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91" fillId="39" borderId="10" xfId="0" applyNumberFormat="1" applyFont="1" applyFill="1" applyBorder="1" applyAlignment="1">
      <alignment/>
    </xf>
    <xf numFmtId="182" fontId="91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8" fillId="0" borderId="0" xfId="55" applyFont="1" applyAlignment="1" applyProtection="1">
      <alignment horizontal="center"/>
      <protection/>
    </xf>
    <xf numFmtId="0" fontId="88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8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8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2" fillId="40" borderId="10" xfId="0" applyNumberFormat="1" applyFont="1" applyFill="1" applyBorder="1" applyAlignment="1" applyProtection="1">
      <alignment horizontal="right"/>
      <protection/>
    </xf>
    <xf numFmtId="182" fontId="93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2" fillId="40" borderId="10" xfId="0" applyNumberFormat="1" applyFont="1" applyFill="1" applyBorder="1" applyAlignment="1" applyProtection="1">
      <alignment horizontal="right"/>
      <protection/>
    </xf>
    <xf numFmtId="182" fontId="86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4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8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37" fillId="37" borderId="10" xfId="55" applyFont="1" applyFill="1" applyBorder="1" applyAlignment="1" applyProtection="1">
      <alignment horizontal="right" vertical="center" wrapText="1"/>
      <protection/>
    </xf>
    <xf numFmtId="182" fontId="18" fillId="37" borderId="10" xfId="0" applyNumberFormat="1" applyFont="1" applyFill="1" applyBorder="1" applyAlignment="1" applyProtection="1">
      <alignment horizontal="right"/>
      <protection locked="0"/>
    </xf>
    <xf numFmtId="0" fontId="18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8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7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2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 horizontal="right"/>
      <protection/>
    </xf>
    <xf numFmtId="182" fontId="95" fillId="37" borderId="10" xfId="0" applyNumberFormat="1" applyFont="1" applyFill="1" applyBorder="1" applyAlignment="1" applyProtection="1">
      <alignment horizontal="right"/>
      <protection/>
    </xf>
    <xf numFmtId="191" fontId="18" fillId="37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/>
      <protection/>
    </xf>
    <xf numFmtId="191" fontId="18" fillId="37" borderId="10" xfId="0" applyNumberFormat="1" applyFont="1" applyFill="1" applyBorder="1" applyAlignment="1" applyProtection="1">
      <alignment/>
      <protection/>
    </xf>
    <xf numFmtId="182" fontId="18" fillId="40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Fill="1" applyBorder="1" applyAlignment="1" applyProtection="1">
      <alignment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5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41" fillId="37" borderId="20" xfId="55" applyFont="1" applyFill="1" applyBorder="1" applyAlignment="1" applyProtection="1">
      <alignment horizontal="center" vertical="center" wrapText="1"/>
      <protection/>
    </xf>
    <xf numFmtId="0" fontId="41" fillId="37" borderId="21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37" borderId="20" xfId="55" applyFont="1" applyFill="1" applyBorder="1" applyAlignment="1" applyProtection="1">
      <alignment horizontal="center" vertical="center" wrapText="1"/>
      <protection/>
    </xf>
    <xf numFmtId="0" fontId="24" fillId="37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4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67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396" t="s">
        <v>279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12"/>
    </row>
    <row r="2" spans="2:24" s="1" customFormat="1" ht="15.75" customHeight="1">
      <c r="B2" s="397"/>
      <c r="C2" s="397"/>
      <c r="D2" s="397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06" t="s">
        <v>265</v>
      </c>
      <c r="U3" s="409" t="s">
        <v>118</v>
      </c>
      <c r="V3" s="409"/>
      <c r="W3" s="409"/>
      <c r="X3" s="359"/>
    </row>
    <row r="4" spans="1:23" ht="22.5" customHeight="1">
      <c r="A4" s="398"/>
      <c r="B4" s="400"/>
      <c r="C4" s="401"/>
      <c r="D4" s="402"/>
      <c r="E4" s="392" t="s">
        <v>262</v>
      </c>
      <c r="F4" s="422" t="s">
        <v>33</v>
      </c>
      <c r="G4" s="410" t="s">
        <v>263</v>
      </c>
      <c r="H4" s="407" t="s">
        <v>264</v>
      </c>
      <c r="I4" s="410" t="s">
        <v>138</v>
      </c>
      <c r="J4" s="40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07"/>
      <c r="U4" s="394" t="s">
        <v>280</v>
      </c>
      <c r="V4" s="410" t="s">
        <v>49</v>
      </c>
      <c r="W4" s="412" t="s">
        <v>48</v>
      </c>
    </row>
    <row r="5" spans="1:23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247</v>
      </c>
      <c r="L5" s="414"/>
      <c r="M5" s="415"/>
      <c r="N5" s="416" t="s">
        <v>248</v>
      </c>
      <c r="O5" s="417"/>
      <c r="P5" s="418"/>
      <c r="Q5" s="419" t="s">
        <v>266</v>
      </c>
      <c r="R5" s="419"/>
      <c r="S5" s="419"/>
      <c r="T5" s="408"/>
      <c r="U5" s="395"/>
      <c r="V5" s="411"/>
      <c r="W5" s="412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1182565.6</v>
      </c>
      <c r="F8" s="151">
        <f>F9+F15+F18+F19+F23+F17</f>
        <v>1172136.5799999998</v>
      </c>
      <c r="G8" s="151">
        <f>F8-E8</f>
        <v>-10429.020000000251</v>
      </c>
      <c r="H8" s="377">
        <f aca="true" t="shared" si="0" ref="H8:H15">F8/E8</f>
        <v>0.9911810220084194</v>
      </c>
      <c r="I8" s="153">
        <f aca="true" t="shared" si="1" ref="I8:I52">F8-D8</f>
        <v>-122044.52000000025</v>
      </c>
      <c r="J8" s="219">
        <f aca="true" t="shared" si="2" ref="J8:J14">F8/D8</f>
        <v>0.9056974947323831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v>890598.48</v>
      </c>
      <c r="R8" s="151">
        <f aca="true" t="shared" si="5" ref="R8:R78">F8-Q8</f>
        <v>281538.09999999986</v>
      </c>
      <c r="S8" s="205">
        <f aca="true" t="shared" si="6" ref="S8:S20">F8/Q8</f>
        <v>1.3161223675117881</v>
      </c>
      <c r="T8" s="151">
        <f>T9+T15+T18+T19+T23+T17</f>
        <v>118021</v>
      </c>
      <c r="U8" s="151">
        <f>U9+U15+U18+U19+U23+U17</f>
        <v>96312.43999999999</v>
      </c>
      <c r="V8" s="151">
        <f>U8-T8</f>
        <v>-21708.560000000012</v>
      </c>
      <c r="W8" s="205">
        <f aca="true" t="shared" si="7" ref="W8:W15">U8/T8</f>
        <v>0.8160618872912446</v>
      </c>
      <c r="X8" s="365">
        <f aca="true" t="shared" si="8" ref="X8:X22">S8-P8</f>
        <v>0.001960754345203375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685666</v>
      </c>
      <c r="F9" s="156">
        <v>670667.07</v>
      </c>
      <c r="G9" s="150">
        <f>F9-E9</f>
        <v>-14998.930000000051</v>
      </c>
      <c r="H9" s="375">
        <f t="shared" si="0"/>
        <v>0.9781250200534953</v>
      </c>
      <c r="I9" s="158">
        <f t="shared" si="1"/>
        <v>-95977.93000000005</v>
      </c>
      <c r="J9" s="210">
        <f t="shared" si="2"/>
        <v>0.8748078576133672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v>480042.75</v>
      </c>
      <c r="R9" s="159">
        <f t="shared" si="5"/>
        <v>190624.31999999995</v>
      </c>
      <c r="S9" s="206">
        <f t="shared" si="6"/>
        <v>1.3970986334029625</v>
      </c>
      <c r="T9" s="157">
        <f>E9-жовтень!E9</f>
        <v>72026</v>
      </c>
      <c r="U9" s="160">
        <f>F9-жовтень!F9</f>
        <v>52456.07999999996</v>
      </c>
      <c r="V9" s="161">
        <f>U9-T9</f>
        <v>-19569.920000000042</v>
      </c>
      <c r="W9" s="210">
        <f t="shared" si="7"/>
        <v>0.7282936717296526</v>
      </c>
      <c r="X9" s="366">
        <f t="shared" si="8"/>
        <v>-0.017614105977811434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v>626314</v>
      </c>
      <c r="F10" s="140">
        <v>614938.71</v>
      </c>
      <c r="G10" s="103">
        <f aca="true" t="shared" si="9" ref="G10:G47">F10-E10</f>
        <v>-11375.290000000037</v>
      </c>
      <c r="H10" s="376">
        <f t="shared" si="0"/>
        <v>0.98183772037668</v>
      </c>
      <c r="I10" s="104">
        <f t="shared" si="1"/>
        <v>-90878.29000000004</v>
      </c>
      <c r="J10" s="109">
        <f t="shared" si="2"/>
        <v>0.871243835158405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v>422134.8</v>
      </c>
      <c r="R10" s="106">
        <f t="shared" si="5"/>
        <v>192803.90999999997</v>
      </c>
      <c r="S10" s="207">
        <f t="shared" si="6"/>
        <v>1.4567354077417924</v>
      </c>
      <c r="T10" s="105">
        <f>E10-жовтень!E10</f>
        <v>66764</v>
      </c>
      <c r="U10" s="144">
        <f>F10-жовтень!F10</f>
        <v>48407.58999999997</v>
      </c>
      <c r="V10" s="106">
        <f aca="true" t="shared" si="10" ref="V10:V52">U10-T10</f>
        <v>-18356.410000000033</v>
      </c>
      <c r="W10" s="109">
        <f t="shared" si="7"/>
        <v>0.7250552693068115</v>
      </c>
      <c r="X10" s="364">
        <f t="shared" si="8"/>
        <v>-0.025481992361565453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v>42006</v>
      </c>
      <c r="F11" s="140">
        <v>35555.46</v>
      </c>
      <c r="G11" s="103">
        <f t="shared" si="9"/>
        <v>-6450.540000000001</v>
      </c>
      <c r="H11" s="376">
        <f t="shared" si="0"/>
        <v>0.8464376517640337</v>
      </c>
      <c r="I11" s="104">
        <f t="shared" si="1"/>
        <v>-6450.540000000001</v>
      </c>
      <c r="J11" s="109">
        <f t="shared" si="2"/>
        <v>0.8464376517640337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v>36721.72</v>
      </c>
      <c r="R11" s="106">
        <f t="shared" si="5"/>
        <v>-1166.260000000002</v>
      </c>
      <c r="S11" s="207">
        <f t="shared" si="6"/>
        <v>0.9682405943948159</v>
      </c>
      <c r="T11" s="105">
        <f>E11-жовтень!E11</f>
        <v>3906</v>
      </c>
      <c r="U11" s="144">
        <f>F11-жовтень!F11</f>
        <v>2142.6500000000015</v>
      </c>
      <c r="V11" s="106">
        <f t="shared" si="10"/>
        <v>-1763.3499999999985</v>
      </c>
      <c r="W11" s="109">
        <f t="shared" si="7"/>
        <v>0.5485535074244755</v>
      </c>
      <c r="X11" s="364">
        <f t="shared" si="8"/>
        <v>-0.022435877310198915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9367.68</v>
      </c>
      <c r="G12" s="103">
        <f t="shared" si="9"/>
        <v>1867.6800000000003</v>
      </c>
      <c r="H12" s="376">
        <f t="shared" si="0"/>
        <v>1.2490240000000001</v>
      </c>
      <c r="I12" s="104">
        <f t="shared" si="1"/>
        <v>1087.6800000000003</v>
      </c>
      <c r="J12" s="109">
        <f t="shared" si="2"/>
        <v>1.1313623188405797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v>9317.93</v>
      </c>
      <c r="R12" s="106">
        <f t="shared" si="5"/>
        <v>49.75</v>
      </c>
      <c r="S12" s="207">
        <f t="shared" si="6"/>
        <v>1.0053391686780218</v>
      </c>
      <c r="T12" s="105">
        <f>E12-жовтень!E12</f>
        <v>720</v>
      </c>
      <c r="U12" s="144">
        <f>F12-жовтень!F12</f>
        <v>1084.6900000000005</v>
      </c>
      <c r="V12" s="106">
        <f t="shared" si="10"/>
        <v>364.6900000000005</v>
      </c>
      <c r="W12" s="109">
        <f t="shared" si="7"/>
        <v>1.5065138888888896</v>
      </c>
      <c r="X12" s="364">
        <f t="shared" si="8"/>
        <v>0.2288892328195382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9552.82</v>
      </c>
      <c r="G13" s="103">
        <f t="shared" si="9"/>
        <v>762.8199999999997</v>
      </c>
      <c r="H13" s="376">
        <f t="shared" si="0"/>
        <v>1.086782707622298</v>
      </c>
      <c r="I13" s="104">
        <f t="shared" si="1"/>
        <v>162.8199999999997</v>
      </c>
      <c r="J13" s="109">
        <f t="shared" si="2"/>
        <v>1.0173397231096912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v>8900.13</v>
      </c>
      <c r="R13" s="106">
        <f t="shared" si="5"/>
        <v>652.6900000000005</v>
      </c>
      <c r="S13" s="207">
        <f t="shared" si="6"/>
        <v>1.0733348838724828</v>
      </c>
      <c r="T13" s="105">
        <f>E13-жовтень!E13</f>
        <v>540</v>
      </c>
      <c r="U13" s="144">
        <f>F13-жовтень!F13</f>
        <v>712.9499999999989</v>
      </c>
      <c r="V13" s="106">
        <f t="shared" si="10"/>
        <v>172.9499999999989</v>
      </c>
      <c r="W13" s="109">
        <f t="shared" si="7"/>
        <v>1.3202777777777757</v>
      </c>
      <c r="X13" s="364">
        <f t="shared" si="8"/>
        <v>0.08829820987661163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1252.4</v>
      </c>
      <c r="G14" s="103">
        <f t="shared" si="9"/>
        <v>196.4000000000001</v>
      </c>
      <c r="H14" s="376">
        <f t="shared" si="0"/>
        <v>1.1859848484848485</v>
      </c>
      <c r="I14" s="104">
        <f t="shared" si="1"/>
        <v>100.40000000000009</v>
      </c>
      <c r="J14" s="109">
        <f t="shared" si="2"/>
        <v>1.0871527777777779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v>2968.16</v>
      </c>
      <c r="R14" s="106">
        <f t="shared" si="5"/>
        <v>-1715.7599999999998</v>
      </c>
      <c r="S14" s="207">
        <f t="shared" si="6"/>
        <v>0.42194490863026257</v>
      </c>
      <c r="T14" s="105">
        <f>E14-жовтень!E14</f>
        <v>96</v>
      </c>
      <c r="U14" s="144">
        <f>F14-жовтень!F14</f>
        <v>108.20000000000005</v>
      </c>
      <c r="V14" s="106">
        <f t="shared" si="10"/>
        <v>12.200000000000045</v>
      </c>
      <c r="W14" s="109">
        <f t="shared" si="7"/>
        <v>1.1270833333333339</v>
      </c>
      <c r="X14" s="364">
        <f t="shared" si="8"/>
        <v>0.05280050972359651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v>451</v>
      </c>
      <c r="F15" s="156">
        <v>887.61</v>
      </c>
      <c r="G15" s="150">
        <f t="shared" si="9"/>
        <v>436.61</v>
      </c>
      <c r="H15" s="375">
        <f t="shared" si="0"/>
        <v>1.9680931263858092</v>
      </c>
      <c r="I15" s="158">
        <f t="shared" si="1"/>
        <v>436.61</v>
      </c>
      <c r="J15" s="158">
        <f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v>408.11</v>
      </c>
      <c r="R15" s="161">
        <f t="shared" si="5"/>
        <v>479.5</v>
      </c>
      <c r="S15" s="208">
        <f t="shared" si="6"/>
        <v>2.174928328146823</v>
      </c>
      <c r="T15" s="157">
        <f>E15-жовтень!E15</f>
        <v>0</v>
      </c>
      <c r="U15" s="160">
        <f>F15-жовтень!F15</f>
        <v>507.32</v>
      </c>
      <c r="V15" s="161">
        <f t="shared" si="10"/>
        <v>507.32</v>
      </c>
      <c r="W15" s="210" t="e">
        <f t="shared" si="7"/>
        <v>#DIV/0!</v>
      </c>
      <c r="X15" s="363">
        <f t="shared" si="8"/>
        <v>1.1929779264398406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9"/>
        <v>0</v>
      </c>
      <c r="H16" s="375" t="e">
        <f>F16/E16/100</f>
        <v>#DIV/0!</v>
      </c>
      <c r="I16" s="158">
        <f t="shared" si="1"/>
        <v>0</v>
      </c>
      <c r="J16" s="158" t="e">
        <f>F16/D16*100</f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06">
        <v>0</v>
      </c>
      <c r="R16" s="161">
        <f t="shared" si="5"/>
        <v>0</v>
      </c>
      <c r="S16" s="208" t="e">
        <f t="shared" si="6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210" t="e">
        <f>U16/T16*100</f>
        <v>#DIV/0!</v>
      </c>
      <c r="X16" s="363" t="e">
        <f t="shared" si="8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9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7">
        <v>0.17</v>
      </c>
      <c r="R17" s="161">
        <f t="shared" si="5"/>
        <v>0.31999999999999995</v>
      </c>
      <c r="S17" s="208">
        <f t="shared" si="6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210"/>
      <c r="X17" s="363">
        <f t="shared" si="8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9"/>
        <v>95.59</v>
      </c>
      <c r="H18" s="375">
        <f aca="true" t="shared" si="11" ref="H18:H41">F18/E18</f>
        <v>1.76472</v>
      </c>
      <c r="I18" s="158">
        <f t="shared" si="1"/>
        <v>95.59</v>
      </c>
      <c r="J18" s="158">
        <f aca="true" t="shared" si="12" ref="J18:J23">F18/D18*100</f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v>124.7</v>
      </c>
      <c r="R18" s="161">
        <f t="shared" si="5"/>
        <v>95.89</v>
      </c>
      <c r="S18" s="208">
        <f t="shared" si="6"/>
        <v>1.7689655172413794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210">
        <f aca="true" t="shared" si="13" ref="W18:W25">U18/T18</f>
        <v>2.0894285714285714</v>
      </c>
      <c r="X18" s="363">
        <f t="shared" si="8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>E20+E21+E22</f>
        <v>116900</v>
      </c>
      <c r="F19" s="223">
        <v>105978.17</v>
      </c>
      <c r="G19" s="150">
        <f t="shared" si="9"/>
        <v>-10921.830000000002</v>
      </c>
      <c r="H19" s="375">
        <f t="shared" si="11"/>
        <v>0.9065711719418306</v>
      </c>
      <c r="I19" s="158">
        <f t="shared" si="1"/>
        <v>-19721.83</v>
      </c>
      <c r="J19" s="158">
        <f t="shared" si="12"/>
        <v>84.31039777247415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v>92791.79</v>
      </c>
      <c r="R19" s="161">
        <f t="shared" si="5"/>
        <v>13186.380000000005</v>
      </c>
      <c r="S19" s="208">
        <f t="shared" si="6"/>
        <v>1.1421071842670565</v>
      </c>
      <c r="T19" s="157">
        <f>E19-жовтень!E19</f>
        <v>10100</v>
      </c>
      <c r="U19" s="160">
        <f>F19-жовтень!F19</f>
        <v>5769.559999999998</v>
      </c>
      <c r="V19" s="161">
        <f t="shared" si="10"/>
        <v>-4330.440000000002</v>
      </c>
      <c r="W19" s="210">
        <f t="shared" si="13"/>
        <v>0.5712435643564354</v>
      </c>
      <c r="X19" s="363">
        <f t="shared" si="8"/>
        <v>-0.0926702787750815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v>63400</v>
      </c>
      <c r="F20" s="201">
        <v>52674.21</v>
      </c>
      <c r="G20" s="253">
        <f t="shared" si="9"/>
        <v>-10725.79</v>
      </c>
      <c r="H20" s="378">
        <f t="shared" si="11"/>
        <v>0.830823501577287</v>
      </c>
      <c r="I20" s="254">
        <f t="shared" si="1"/>
        <v>-10725.79</v>
      </c>
      <c r="J20" s="254">
        <f t="shared" si="12"/>
        <v>83.0823501577287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v>92791.79</v>
      </c>
      <c r="R20" s="166">
        <f t="shared" si="5"/>
        <v>-40117.579999999994</v>
      </c>
      <c r="S20" s="256">
        <f t="shared" si="6"/>
        <v>0.567660242355493</v>
      </c>
      <c r="T20" s="195">
        <f>E20-жовтень!E20</f>
        <v>100</v>
      </c>
      <c r="U20" s="179">
        <f>F20-жовтень!F20</f>
        <v>749.7099999999991</v>
      </c>
      <c r="V20" s="166">
        <f t="shared" si="10"/>
        <v>649.7099999999991</v>
      </c>
      <c r="W20" s="305">
        <f t="shared" si="13"/>
        <v>7.497099999999992</v>
      </c>
      <c r="X20" s="363">
        <f t="shared" si="8"/>
        <v>-0.05513125451699352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v>11200</v>
      </c>
      <c r="F21" s="201">
        <v>10591.13</v>
      </c>
      <c r="G21" s="253">
        <f t="shared" si="9"/>
        <v>-608.8700000000008</v>
      </c>
      <c r="H21" s="378">
        <f t="shared" si="11"/>
        <v>0.945636607142857</v>
      </c>
      <c r="I21" s="254">
        <f t="shared" si="1"/>
        <v>-1608.8700000000008</v>
      </c>
      <c r="J21" s="254">
        <f t="shared" si="12"/>
        <v>86.81254098360654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5"/>
        <v>10591.13</v>
      </c>
      <c r="S21" s="256"/>
      <c r="T21" s="195">
        <f>E21-жовтень!E21</f>
        <v>2500</v>
      </c>
      <c r="U21" s="179">
        <f>F21-жовтень!F21</f>
        <v>578.9699999999993</v>
      </c>
      <c r="V21" s="166">
        <f t="shared" si="10"/>
        <v>-1921.0300000000007</v>
      </c>
      <c r="W21" s="305">
        <f t="shared" si="13"/>
        <v>0.23158799999999974</v>
      </c>
      <c r="X21" s="363">
        <f t="shared" si="8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v>42300</v>
      </c>
      <c r="F22" s="201">
        <v>42712.83</v>
      </c>
      <c r="G22" s="253">
        <f t="shared" si="9"/>
        <v>412.83000000000175</v>
      </c>
      <c r="H22" s="378">
        <f t="shared" si="11"/>
        <v>1.0097595744680852</v>
      </c>
      <c r="I22" s="254">
        <f t="shared" si="1"/>
        <v>-7387.169999999998</v>
      </c>
      <c r="J22" s="254">
        <f t="shared" si="12"/>
        <v>85.2551497005988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5"/>
        <v>42712.83</v>
      </c>
      <c r="S22" s="256"/>
      <c r="T22" s="195">
        <f>E22-жовтень!E22</f>
        <v>7500</v>
      </c>
      <c r="U22" s="179">
        <f>F22-жовтень!F22</f>
        <v>4440.880000000005</v>
      </c>
      <c r="V22" s="166">
        <f t="shared" si="10"/>
        <v>-3059.1199999999953</v>
      </c>
      <c r="W22" s="305">
        <f t="shared" si="13"/>
        <v>0.5921173333333339</v>
      </c>
      <c r="X22" s="363">
        <f t="shared" si="8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379423.6</v>
      </c>
      <c r="F23" s="223">
        <v>394382.65</v>
      </c>
      <c r="G23" s="150">
        <f t="shared" si="9"/>
        <v>14959.050000000047</v>
      </c>
      <c r="H23" s="375">
        <f t="shared" si="11"/>
        <v>1.0394257236502948</v>
      </c>
      <c r="I23" s="158">
        <f t="shared" si="1"/>
        <v>-6877.449999999953</v>
      </c>
      <c r="J23" s="158">
        <f t="shared" si="12"/>
        <v>98.2860369122173</v>
      </c>
      <c r="K23" s="158"/>
      <c r="L23" s="158"/>
      <c r="M23" s="158"/>
      <c r="N23" s="158">
        <v>340503.51</v>
      </c>
      <c r="O23" s="158">
        <f aca="true" t="shared" si="14" ref="O23:O51">D23-N23</f>
        <v>60756.58999999997</v>
      </c>
      <c r="P23" s="210">
        <f aca="true" t="shared" si="15" ref="P23:P51">D23/N23</f>
        <v>1.1784316114685571</v>
      </c>
      <c r="Q23" s="158">
        <v>317230.96</v>
      </c>
      <c r="R23" s="161">
        <f t="shared" si="5"/>
        <v>77151.69</v>
      </c>
      <c r="S23" s="209">
        <f aca="true" t="shared" si="16" ref="S23:S41">F23/Q23</f>
        <v>1.2432035322151407</v>
      </c>
      <c r="T23" s="157">
        <f>E23-жовтень!E23</f>
        <v>35860</v>
      </c>
      <c r="U23" s="160">
        <f>F23-жовтень!F23</f>
        <v>37506.350000000035</v>
      </c>
      <c r="V23" s="161">
        <f t="shared" si="10"/>
        <v>1646.350000000035</v>
      </c>
      <c r="W23" s="210">
        <f t="shared" si="13"/>
        <v>1.045910485220302</v>
      </c>
      <c r="X23" s="363">
        <f>S23-P23</f>
        <v>0.06477192074658356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191561.1</v>
      </c>
      <c r="F24" s="223">
        <f>F25+F32+F35</f>
        <v>182301.48</v>
      </c>
      <c r="G24" s="150">
        <f t="shared" si="9"/>
        <v>-9259.619999999995</v>
      </c>
      <c r="H24" s="375">
        <f t="shared" si="11"/>
        <v>0.9516623155745086</v>
      </c>
      <c r="I24" s="158">
        <f t="shared" si="1"/>
        <v>-24449.51999999999</v>
      </c>
      <c r="J24" s="210">
        <f aca="true" t="shared" si="17" ref="J24:J41">F24/D24</f>
        <v>0.8817441269933398</v>
      </c>
      <c r="K24" s="158"/>
      <c r="L24" s="158"/>
      <c r="M24" s="158"/>
      <c r="N24" s="158">
        <v>182295.05</v>
      </c>
      <c r="O24" s="158">
        <f t="shared" si="14"/>
        <v>24455.95000000001</v>
      </c>
      <c r="P24" s="210">
        <f t="shared" si="15"/>
        <v>1.134155864352872</v>
      </c>
      <c r="Q24" s="158">
        <v>167260.1</v>
      </c>
      <c r="R24" s="161">
        <f t="shared" si="5"/>
        <v>15041.380000000005</v>
      </c>
      <c r="S24" s="209">
        <f t="shared" si="16"/>
        <v>1.089928082070978</v>
      </c>
      <c r="T24" s="157">
        <f>E24-жовтень!E24</f>
        <v>17145</v>
      </c>
      <c r="U24" s="160">
        <f>F24-жовтень!F24</f>
        <v>6374.790000000037</v>
      </c>
      <c r="V24" s="161">
        <f t="shared" si="10"/>
        <v>-10770.209999999963</v>
      </c>
      <c r="W24" s="210">
        <f t="shared" si="13"/>
        <v>0.37181627296588143</v>
      </c>
      <c r="X24" s="363">
        <f aca="true" t="shared" si="18" ref="X24:X99">S24-P24</f>
        <v>-0.044227782281893946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v>22264.1</v>
      </c>
      <c r="F25" s="201">
        <v>24068.52</v>
      </c>
      <c r="G25" s="253">
        <f t="shared" si="9"/>
        <v>1804.420000000002</v>
      </c>
      <c r="H25" s="378">
        <f t="shared" si="11"/>
        <v>1.0810461684954704</v>
      </c>
      <c r="I25" s="254">
        <f t="shared" si="1"/>
        <v>1259.5200000000004</v>
      </c>
      <c r="J25" s="305">
        <f t="shared" si="17"/>
        <v>1.0552203077732474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20736.16</v>
      </c>
      <c r="R25" s="166">
        <f t="shared" si="5"/>
        <v>3332.3600000000006</v>
      </c>
      <c r="S25" s="215">
        <f t="shared" si="16"/>
        <v>1.16070284951505</v>
      </c>
      <c r="T25" s="195">
        <f>E25-жовтень!E25</f>
        <v>405</v>
      </c>
      <c r="U25" s="179">
        <f>F25-жовтень!F25</f>
        <v>469.33000000000175</v>
      </c>
      <c r="V25" s="166">
        <f t="shared" si="10"/>
        <v>64.33000000000175</v>
      </c>
      <c r="W25" s="305">
        <f t="shared" si="13"/>
        <v>1.1588395061728438</v>
      </c>
      <c r="X25" s="363">
        <f t="shared" si="18"/>
        <v>0.09893811077369441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>E28+E29</f>
        <v>1767.3</v>
      </c>
      <c r="F26" s="199">
        <f>F28+F29</f>
        <v>1382.21</v>
      </c>
      <c r="G26" s="223">
        <f t="shared" si="9"/>
        <v>-385.0899999999999</v>
      </c>
      <c r="H26" s="379">
        <f t="shared" si="11"/>
        <v>0.7821026424489335</v>
      </c>
      <c r="I26" s="299">
        <f t="shared" si="1"/>
        <v>-440.0899999999999</v>
      </c>
      <c r="J26" s="341">
        <f t="shared" si="17"/>
        <v>0.7584975031553531</v>
      </c>
      <c r="K26" s="299"/>
      <c r="L26" s="299"/>
      <c r="M26" s="299"/>
      <c r="N26" s="299">
        <v>842.7</v>
      </c>
      <c r="O26" s="299">
        <f t="shared" si="14"/>
        <v>979.5999999999999</v>
      </c>
      <c r="P26" s="341">
        <f t="shared" si="15"/>
        <v>2.162454016850599</v>
      </c>
      <c r="Q26" s="200">
        <v>815.85</v>
      </c>
      <c r="R26" s="367">
        <f t="shared" si="5"/>
        <v>566.36</v>
      </c>
      <c r="S26" s="228">
        <f t="shared" si="16"/>
        <v>1.6941962370533798</v>
      </c>
      <c r="T26" s="237">
        <f>E26-жовтень!E26</f>
        <v>55</v>
      </c>
      <c r="U26" s="237">
        <f>F26-жовтень!F26</f>
        <v>129.8900000000001</v>
      </c>
      <c r="V26" s="299">
        <f t="shared" si="10"/>
        <v>74.8900000000001</v>
      </c>
      <c r="W26" s="341">
        <f>U26/T26*100</f>
        <v>236.16363636363653</v>
      </c>
      <c r="X26" s="363">
        <f t="shared" si="18"/>
        <v>-0.46825777979721916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>E30+E31</f>
        <v>20496.8</v>
      </c>
      <c r="F27" s="199">
        <f>F30+F31</f>
        <v>22686.31</v>
      </c>
      <c r="G27" s="223">
        <f t="shared" si="9"/>
        <v>2189.510000000002</v>
      </c>
      <c r="H27" s="379">
        <f t="shared" si="11"/>
        <v>1.1068220405136413</v>
      </c>
      <c r="I27" s="299">
        <f t="shared" si="1"/>
        <v>1699.6100000000042</v>
      </c>
      <c r="J27" s="341">
        <f t="shared" si="17"/>
        <v>1.0809851000871984</v>
      </c>
      <c r="K27" s="299"/>
      <c r="L27" s="299"/>
      <c r="M27" s="299"/>
      <c r="N27" s="299">
        <v>20639.46</v>
      </c>
      <c r="O27" s="299">
        <f t="shared" si="14"/>
        <v>347.23999999999796</v>
      </c>
      <c r="P27" s="341">
        <f t="shared" si="15"/>
        <v>1.01682408357583</v>
      </c>
      <c r="Q27" s="200">
        <v>19919.31</v>
      </c>
      <c r="R27" s="367">
        <f t="shared" si="5"/>
        <v>2767</v>
      </c>
      <c r="S27" s="228">
        <f t="shared" si="16"/>
        <v>1.1389104341465643</v>
      </c>
      <c r="T27" s="237">
        <f>E27-жовтень!E27</f>
        <v>350</v>
      </c>
      <c r="U27" s="237">
        <f>F27-жовтень!F27</f>
        <v>339.4300000000003</v>
      </c>
      <c r="V27" s="299">
        <f t="shared" si="10"/>
        <v>-10.569999999999709</v>
      </c>
      <c r="W27" s="341">
        <f>U27/T27*100</f>
        <v>96.98000000000009</v>
      </c>
      <c r="X27" s="363">
        <f t="shared" si="18"/>
        <v>0.12208635057073436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v>917.3</v>
      </c>
      <c r="F28" s="373">
        <v>260.75</v>
      </c>
      <c r="G28" s="385">
        <f t="shared" si="9"/>
        <v>-656.55</v>
      </c>
      <c r="H28" s="387">
        <f t="shared" si="11"/>
        <v>0.2842581489152949</v>
      </c>
      <c r="I28" s="388">
        <f t="shared" si="1"/>
        <v>-661.55</v>
      </c>
      <c r="J28" s="389">
        <f t="shared" si="17"/>
        <v>0.2827171202428711</v>
      </c>
      <c r="K28" s="299"/>
      <c r="L28" s="299"/>
      <c r="M28" s="299"/>
      <c r="N28" s="388">
        <v>395.2</v>
      </c>
      <c r="O28" s="388">
        <f t="shared" si="14"/>
        <v>527.0999999999999</v>
      </c>
      <c r="P28" s="389">
        <f t="shared" si="15"/>
        <v>2.3337550607287447</v>
      </c>
      <c r="Q28" s="388">
        <v>388.94</v>
      </c>
      <c r="R28" s="388">
        <f t="shared" si="5"/>
        <v>-128.19</v>
      </c>
      <c r="S28" s="389">
        <f t="shared" si="16"/>
        <v>0.6704118887231963</v>
      </c>
      <c r="T28" s="373"/>
      <c r="U28" s="373"/>
      <c r="V28" s="388"/>
      <c r="W28" s="389"/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v>850</v>
      </c>
      <c r="F29" s="373">
        <v>1121.46</v>
      </c>
      <c r="G29" s="385">
        <f t="shared" si="9"/>
        <v>271.46000000000004</v>
      </c>
      <c r="H29" s="387">
        <f t="shared" si="11"/>
        <v>1.319364705882353</v>
      </c>
      <c r="I29" s="388">
        <f t="shared" si="1"/>
        <v>221.46000000000004</v>
      </c>
      <c r="J29" s="389">
        <f t="shared" si="17"/>
        <v>1.2460666666666667</v>
      </c>
      <c r="K29" s="299"/>
      <c r="L29" s="299"/>
      <c r="M29" s="299"/>
      <c r="N29" s="388">
        <v>447.5</v>
      </c>
      <c r="O29" s="388">
        <f t="shared" si="14"/>
        <v>452.5</v>
      </c>
      <c r="P29" s="389">
        <f t="shared" si="15"/>
        <v>2.011173184357542</v>
      </c>
      <c r="Q29" s="388">
        <v>427.91</v>
      </c>
      <c r="R29" s="388">
        <f t="shared" si="5"/>
        <v>693.55</v>
      </c>
      <c r="S29" s="389">
        <f t="shared" si="16"/>
        <v>2.6207847444556096</v>
      </c>
      <c r="T29" s="373"/>
      <c r="U29" s="373"/>
      <c r="V29" s="388"/>
      <c r="W29" s="389"/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v>2019.1</v>
      </c>
      <c r="F30" s="373">
        <v>2053.38</v>
      </c>
      <c r="G30" s="385">
        <f t="shared" si="9"/>
        <v>34.2800000000002</v>
      </c>
      <c r="H30" s="387">
        <f t="shared" si="11"/>
        <v>1.0169778614234066</v>
      </c>
      <c r="I30" s="388">
        <f t="shared" si="1"/>
        <v>34.2800000000002</v>
      </c>
      <c r="J30" s="389">
        <f t="shared" si="17"/>
        <v>1.0169778614234066</v>
      </c>
      <c r="K30" s="299"/>
      <c r="L30" s="299"/>
      <c r="M30" s="299"/>
      <c r="N30" s="388">
        <v>1968.01</v>
      </c>
      <c r="O30" s="388">
        <f t="shared" si="14"/>
        <v>51.08999999999992</v>
      </c>
      <c r="P30" s="389">
        <f t="shared" si="15"/>
        <v>1.0259602339419007</v>
      </c>
      <c r="Q30" s="388">
        <v>1918.92</v>
      </c>
      <c r="R30" s="388">
        <f t="shared" si="5"/>
        <v>134.46000000000004</v>
      </c>
      <c r="S30" s="389">
        <f t="shared" si="16"/>
        <v>1.0700706647489213</v>
      </c>
      <c r="T30" s="373"/>
      <c r="U30" s="373"/>
      <c r="V30" s="388"/>
      <c r="W30" s="389"/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v>18477.7</v>
      </c>
      <c r="F31" s="373">
        <v>20632.93</v>
      </c>
      <c r="G31" s="385">
        <f t="shared" si="9"/>
        <v>2155.2299999999996</v>
      </c>
      <c r="H31" s="387">
        <f t="shared" si="11"/>
        <v>1.1166395168229812</v>
      </c>
      <c r="I31" s="388">
        <f t="shared" si="1"/>
        <v>1665.3300000000017</v>
      </c>
      <c r="J31" s="389">
        <f t="shared" si="17"/>
        <v>1.0877986672009112</v>
      </c>
      <c r="K31" s="299"/>
      <c r="L31" s="299"/>
      <c r="M31" s="299"/>
      <c r="N31" s="388">
        <v>18671.45</v>
      </c>
      <c r="O31" s="388">
        <f t="shared" si="14"/>
        <v>296.1499999999978</v>
      </c>
      <c r="P31" s="389">
        <f t="shared" si="15"/>
        <v>1.0158611141609246</v>
      </c>
      <c r="Q31" s="388">
        <v>18000.38</v>
      </c>
      <c r="R31" s="388">
        <f t="shared" si="5"/>
        <v>2632.5499999999993</v>
      </c>
      <c r="S31" s="389">
        <f t="shared" si="16"/>
        <v>1.1462496902843162</v>
      </c>
      <c r="T31" s="373"/>
      <c r="U31" s="373"/>
      <c r="V31" s="388"/>
      <c r="W31" s="389"/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v>645</v>
      </c>
      <c r="F32" s="172">
        <v>248.52</v>
      </c>
      <c r="G32" s="253">
        <f t="shared" si="9"/>
        <v>-396.48</v>
      </c>
      <c r="H32" s="378">
        <f t="shared" si="11"/>
        <v>0.3853023255813954</v>
      </c>
      <c r="I32" s="254">
        <f t="shared" si="1"/>
        <v>-401.48</v>
      </c>
      <c r="J32" s="305">
        <f t="shared" si="17"/>
        <v>0.38233846153846157</v>
      </c>
      <c r="K32" s="254"/>
      <c r="L32" s="254"/>
      <c r="M32" s="254"/>
      <c r="N32" s="254">
        <v>701.85</v>
      </c>
      <c r="O32" s="254">
        <f t="shared" si="14"/>
        <v>-51.85000000000002</v>
      </c>
      <c r="P32" s="305">
        <f t="shared" si="15"/>
        <v>0.9261238156301204</v>
      </c>
      <c r="Q32" s="174">
        <v>787.37</v>
      </c>
      <c r="R32" s="174">
        <f t="shared" si="5"/>
        <v>-538.85</v>
      </c>
      <c r="S32" s="212">
        <f t="shared" si="16"/>
        <v>0.31563305688558113</v>
      </c>
      <c r="T32" s="195">
        <f>E32-жовтень!E28</f>
        <v>5</v>
      </c>
      <c r="U32" s="179">
        <f>F32-жовтень!F28</f>
        <v>-4.149999999999977</v>
      </c>
      <c r="V32" s="166">
        <f t="shared" si="10"/>
        <v>-9.149999999999977</v>
      </c>
      <c r="W32" s="305">
        <f>U32/T32</f>
        <v>-0.8299999999999954</v>
      </c>
      <c r="X32" s="364">
        <f t="shared" si="18"/>
        <v>-0.6104907587445392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v>350</v>
      </c>
      <c r="F33" s="140">
        <v>-134.78</v>
      </c>
      <c r="G33" s="103">
        <f t="shared" si="9"/>
        <v>-484.78</v>
      </c>
      <c r="H33" s="376">
        <f t="shared" si="11"/>
        <v>-0.3850857142857143</v>
      </c>
      <c r="I33" s="104">
        <f t="shared" si="1"/>
        <v>-484.78</v>
      </c>
      <c r="J33" s="109">
        <f t="shared" si="17"/>
        <v>-0.3850857142857143</v>
      </c>
      <c r="K33" s="104"/>
      <c r="L33" s="104"/>
      <c r="M33" s="104"/>
      <c r="N33" s="104">
        <v>350.41</v>
      </c>
      <c r="O33" s="104">
        <f t="shared" si="14"/>
        <v>-0.410000000000025</v>
      </c>
      <c r="P33" s="109">
        <f t="shared" si="15"/>
        <v>0.9988299420678632</v>
      </c>
      <c r="Q33" s="104">
        <v>465.52</v>
      </c>
      <c r="R33" s="104">
        <f t="shared" si="5"/>
        <v>-600.3</v>
      </c>
      <c r="S33" s="109">
        <f t="shared" si="16"/>
        <v>-0.28952569169960474</v>
      </c>
      <c r="T33" s="105"/>
      <c r="U33" s="144"/>
      <c r="V33" s="106"/>
      <c r="W33" s="109"/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v>295</v>
      </c>
      <c r="F34" s="140">
        <v>383.3</v>
      </c>
      <c r="G34" s="103">
        <f t="shared" si="9"/>
        <v>88.30000000000001</v>
      </c>
      <c r="H34" s="376">
        <f t="shared" si="11"/>
        <v>1.2993220338983051</v>
      </c>
      <c r="I34" s="104">
        <f t="shared" si="1"/>
        <v>83.30000000000001</v>
      </c>
      <c r="J34" s="109">
        <f t="shared" si="17"/>
        <v>1.2776666666666667</v>
      </c>
      <c r="K34" s="104"/>
      <c r="L34" s="104"/>
      <c r="M34" s="104"/>
      <c r="N34" s="104">
        <v>351.44</v>
      </c>
      <c r="O34" s="104">
        <f t="shared" si="14"/>
        <v>-51.44</v>
      </c>
      <c r="P34" s="109">
        <f t="shared" si="15"/>
        <v>0.8536307762349192</v>
      </c>
      <c r="Q34" s="104">
        <v>321.84</v>
      </c>
      <c r="R34" s="104">
        <f t="shared" si="5"/>
        <v>61.460000000000036</v>
      </c>
      <c r="S34" s="109">
        <f t="shared" si="16"/>
        <v>1.1909644543872733</v>
      </c>
      <c r="T34" s="105"/>
      <c r="U34" s="144"/>
      <c r="V34" s="106"/>
      <c r="W34" s="109"/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v>168652</v>
      </c>
      <c r="F35" s="172">
        <v>157984.44</v>
      </c>
      <c r="G35" s="150">
        <f t="shared" si="9"/>
        <v>-10667.559999999998</v>
      </c>
      <c r="H35" s="378">
        <f t="shared" si="11"/>
        <v>0.936748096672438</v>
      </c>
      <c r="I35" s="254">
        <f t="shared" si="1"/>
        <v>-25307.559999999998</v>
      </c>
      <c r="J35" s="305">
        <f t="shared" si="17"/>
        <v>0.8619276345939813</v>
      </c>
      <c r="K35" s="254"/>
      <c r="L35" s="254"/>
      <c r="M35" s="254"/>
      <c r="N35" s="254">
        <v>160111.04</v>
      </c>
      <c r="O35" s="254">
        <f t="shared" si="14"/>
        <v>23180.959999999992</v>
      </c>
      <c r="P35" s="305">
        <f t="shared" si="15"/>
        <v>1.1447805223175116</v>
      </c>
      <c r="Q35" s="175">
        <v>145736.57</v>
      </c>
      <c r="R35" s="175">
        <f t="shared" si="5"/>
        <v>12247.869999999995</v>
      </c>
      <c r="S35" s="211">
        <f t="shared" si="16"/>
        <v>1.0840411572743889</v>
      </c>
      <c r="T35" s="195">
        <f>E35-жовтень!E29</f>
        <v>16735</v>
      </c>
      <c r="U35" s="179">
        <f>F35-жовтень!F29</f>
        <v>5909.610000000015</v>
      </c>
      <c r="V35" s="166">
        <f t="shared" si="10"/>
        <v>-10825.389999999985</v>
      </c>
      <c r="W35" s="305">
        <f>U35/T35</f>
        <v>0.3531287720346588</v>
      </c>
      <c r="X35" s="364">
        <f t="shared" si="18"/>
        <v>-0.06073936504312272</v>
      </c>
    </row>
    <row r="36" spans="1:24" s="6" customFormat="1" ht="18" customHeight="1" hidden="1">
      <c r="A36" s="8"/>
      <c r="B36" s="196" t="s">
        <v>111</v>
      </c>
      <c r="C36" s="197"/>
      <c r="D36" s="199">
        <f aca="true" t="shared" si="19" ref="D36:F37">D38+D40</f>
        <v>58533</v>
      </c>
      <c r="E36" s="199">
        <f t="shared" si="19"/>
        <v>53733</v>
      </c>
      <c r="F36" s="199">
        <f t="shared" si="19"/>
        <v>51336.88</v>
      </c>
      <c r="G36" s="223">
        <f t="shared" si="9"/>
        <v>-2396.1200000000026</v>
      </c>
      <c r="H36" s="379">
        <f t="shared" si="11"/>
        <v>0.955406919397763</v>
      </c>
      <c r="I36" s="299">
        <f t="shared" si="1"/>
        <v>-7196.120000000003</v>
      </c>
      <c r="J36" s="341">
        <f t="shared" si="17"/>
        <v>0.8770587531819657</v>
      </c>
      <c r="K36" s="299"/>
      <c r="L36" s="299"/>
      <c r="M36" s="299"/>
      <c r="N36" s="299">
        <v>49911.97</v>
      </c>
      <c r="O36" s="299">
        <f t="shared" si="14"/>
        <v>8621.029999999999</v>
      </c>
      <c r="P36" s="341">
        <f t="shared" si="15"/>
        <v>1.1727246991052447</v>
      </c>
      <c r="Q36" s="200">
        <v>46002.62</v>
      </c>
      <c r="R36" s="200">
        <f t="shared" si="5"/>
        <v>5334.259999999995</v>
      </c>
      <c r="S36" s="228">
        <f t="shared" si="16"/>
        <v>1.115955569487129</v>
      </c>
      <c r="T36" s="237">
        <f>E36-жовтень!E30</f>
        <v>5800</v>
      </c>
      <c r="U36" s="237">
        <f>F36-жовтень!F30</f>
        <v>1688.7699999999968</v>
      </c>
      <c r="V36" s="299">
        <f t="shared" si="10"/>
        <v>-4111.230000000003</v>
      </c>
      <c r="W36" s="341">
        <f>U36/T36*100</f>
        <v>29.116724137930976</v>
      </c>
      <c r="X36" s="363">
        <f t="shared" si="18"/>
        <v>-0.056769129618115644</v>
      </c>
    </row>
    <row r="37" spans="1:24" s="6" customFormat="1" ht="18" customHeight="1" hidden="1">
      <c r="A37" s="8"/>
      <c r="B37" s="196" t="s">
        <v>112</v>
      </c>
      <c r="C37" s="197"/>
      <c r="D37" s="199">
        <f t="shared" si="19"/>
        <v>124759</v>
      </c>
      <c r="E37" s="199">
        <f t="shared" si="19"/>
        <v>114919</v>
      </c>
      <c r="F37" s="199">
        <f t="shared" si="19"/>
        <v>106647.56</v>
      </c>
      <c r="G37" s="223">
        <f t="shared" si="9"/>
        <v>-8271.440000000002</v>
      </c>
      <c r="H37" s="379">
        <f t="shared" si="11"/>
        <v>0.9280237384592626</v>
      </c>
      <c r="I37" s="299">
        <f t="shared" si="1"/>
        <v>-18111.440000000002</v>
      </c>
      <c r="J37" s="341">
        <f t="shared" si="17"/>
        <v>0.8548285895205957</v>
      </c>
      <c r="K37" s="299"/>
      <c r="L37" s="299"/>
      <c r="M37" s="299"/>
      <c r="N37" s="299">
        <v>110199.06</v>
      </c>
      <c r="O37" s="299">
        <f t="shared" si="14"/>
        <v>14559.940000000002</v>
      </c>
      <c r="P37" s="341">
        <f t="shared" si="15"/>
        <v>1.1321239945240913</v>
      </c>
      <c r="Q37" s="200">
        <v>99733.95</v>
      </c>
      <c r="R37" s="200">
        <f t="shared" si="5"/>
        <v>6913.610000000001</v>
      </c>
      <c r="S37" s="228">
        <f t="shared" si="16"/>
        <v>1.0693205272627826</v>
      </c>
      <c r="T37" s="237">
        <f>E37-жовтень!E31</f>
        <v>10935</v>
      </c>
      <c r="U37" s="237">
        <f>F37-жовтень!F31</f>
        <v>4220.8399999999965</v>
      </c>
      <c r="V37" s="299">
        <f t="shared" si="10"/>
        <v>-6714.1600000000035</v>
      </c>
      <c r="W37" s="341">
        <f>U37/T37*100</f>
        <v>38.59935985368081</v>
      </c>
      <c r="X37" s="363">
        <f t="shared" si="18"/>
        <v>-0.0628034672613087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v>50368</v>
      </c>
      <c r="F38" s="373">
        <v>48129.93</v>
      </c>
      <c r="G38" s="385">
        <f t="shared" si="9"/>
        <v>-2238.0699999999997</v>
      </c>
      <c r="H38" s="387">
        <f t="shared" si="11"/>
        <v>0.9555656369123253</v>
      </c>
      <c r="I38" s="388">
        <f t="shared" si="1"/>
        <v>-6838.07</v>
      </c>
      <c r="J38" s="389">
        <f t="shared" si="17"/>
        <v>0.8755990758259351</v>
      </c>
      <c r="K38" s="299"/>
      <c r="L38" s="299"/>
      <c r="M38" s="299"/>
      <c r="N38" s="388">
        <v>46607.08</v>
      </c>
      <c r="O38" s="388">
        <f t="shared" si="14"/>
        <v>8360.919999999998</v>
      </c>
      <c r="P38" s="389">
        <f t="shared" si="15"/>
        <v>1.1793916289113155</v>
      </c>
      <c r="Q38" s="388">
        <v>42811.57</v>
      </c>
      <c r="R38" s="388">
        <f t="shared" si="5"/>
        <v>5318.360000000001</v>
      </c>
      <c r="S38" s="389">
        <f t="shared" si="16"/>
        <v>1.12422716569376</v>
      </c>
      <c r="T38" s="373"/>
      <c r="U38" s="373"/>
      <c r="V38" s="388"/>
      <c r="W38" s="389"/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v>95039</v>
      </c>
      <c r="F39" s="373">
        <v>88613.58</v>
      </c>
      <c r="G39" s="385">
        <f t="shared" si="9"/>
        <v>-6425.419999999998</v>
      </c>
      <c r="H39" s="387">
        <f t="shared" si="11"/>
        <v>0.9323917549637517</v>
      </c>
      <c r="I39" s="388">
        <f t="shared" si="1"/>
        <v>-15310.419999999998</v>
      </c>
      <c r="J39" s="389">
        <f t="shared" si="17"/>
        <v>0.8526767637889227</v>
      </c>
      <c r="K39" s="299"/>
      <c r="L39" s="299"/>
      <c r="M39" s="299"/>
      <c r="N39" s="388">
        <v>91357.39</v>
      </c>
      <c r="O39" s="388">
        <f t="shared" si="14"/>
        <v>12566.61</v>
      </c>
      <c r="P39" s="389">
        <f t="shared" si="15"/>
        <v>1.1375543894150215</v>
      </c>
      <c r="Q39" s="388">
        <v>82561.09</v>
      </c>
      <c r="R39" s="388">
        <f t="shared" si="5"/>
        <v>6052.490000000005</v>
      </c>
      <c r="S39" s="389">
        <f t="shared" si="16"/>
        <v>1.0733092307768708</v>
      </c>
      <c r="T39" s="373"/>
      <c r="U39" s="373"/>
      <c r="V39" s="388"/>
      <c r="W39" s="389"/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v>3365</v>
      </c>
      <c r="F40" s="373">
        <v>3206.95</v>
      </c>
      <c r="G40" s="385">
        <f t="shared" si="9"/>
        <v>-158.05000000000018</v>
      </c>
      <c r="H40" s="387">
        <f t="shared" si="11"/>
        <v>0.9530312035661218</v>
      </c>
      <c r="I40" s="388">
        <f t="shared" si="1"/>
        <v>-358.0500000000002</v>
      </c>
      <c r="J40" s="389">
        <f t="shared" si="17"/>
        <v>0.8995652173913044</v>
      </c>
      <c r="K40" s="299"/>
      <c r="L40" s="299"/>
      <c r="M40" s="299"/>
      <c r="N40" s="388">
        <v>3304.89</v>
      </c>
      <c r="O40" s="388">
        <f t="shared" si="14"/>
        <v>260.1100000000001</v>
      </c>
      <c r="P40" s="389">
        <f t="shared" si="15"/>
        <v>1.0787045862343376</v>
      </c>
      <c r="Q40" s="388">
        <v>3191.05</v>
      </c>
      <c r="R40" s="388">
        <f t="shared" si="5"/>
        <v>15.899999999999636</v>
      </c>
      <c r="S40" s="389">
        <f t="shared" si="16"/>
        <v>1.0049826859497657</v>
      </c>
      <c r="T40" s="373"/>
      <c r="U40" s="373"/>
      <c r="V40" s="388"/>
      <c r="W40" s="389"/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v>19880</v>
      </c>
      <c r="F41" s="373">
        <v>18033.98</v>
      </c>
      <c r="G41" s="385">
        <f t="shared" si="9"/>
        <v>-1846.0200000000004</v>
      </c>
      <c r="H41" s="387">
        <f t="shared" si="11"/>
        <v>0.9071418511066398</v>
      </c>
      <c r="I41" s="388">
        <f t="shared" si="1"/>
        <v>-2801.0200000000004</v>
      </c>
      <c r="J41" s="389">
        <f t="shared" si="17"/>
        <v>0.8655617950563955</v>
      </c>
      <c r="K41" s="299"/>
      <c r="L41" s="299"/>
      <c r="M41" s="299"/>
      <c r="N41" s="388">
        <v>18841.68</v>
      </c>
      <c r="O41" s="388">
        <f t="shared" si="14"/>
        <v>1993.3199999999997</v>
      </c>
      <c r="P41" s="389">
        <f t="shared" si="15"/>
        <v>1.1057931139898354</v>
      </c>
      <c r="Q41" s="388">
        <v>17172.76</v>
      </c>
      <c r="R41" s="388">
        <f t="shared" si="5"/>
        <v>861.2200000000012</v>
      </c>
      <c r="S41" s="389">
        <f t="shared" si="16"/>
        <v>1.0501503543984776</v>
      </c>
      <c r="T41" s="373"/>
      <c r="U41" s="373"/>
      <c r="V41" s="388"/>
      <c r="W41" s="389"/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v>0</v>
      </c>
      <c r="F42" s="199">
        <v>0.2</v>
      </c>
      <c r="G42" s="150">
        <f t="shared" si="9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4"/>
        <v>-0.15</v>
      </c>
      <c r="P42" s="210">
        <f t="shared" si="15"/>
        <v>0</v>
      </c>
      <c r="Q42" s="167">
        <v>0.15</v>
      </c>
      <c r="R42" s="158">
        <f t="shared" si="5"/>
        <v>0.05000000000000002</v>
      </c>
      <c r="S42" s="210"/>
      <c r="T42" s="157">
        <f>E42-жовтень!E32</f>
        <v>0</v>
      </c>
      <c r="U42" s="160">
        <f>F42-жовтень!F32</f>
        <v>0</v>
      </c>
      <c r="V42" s="161">
        <f t="shared" si="10"/>
        <v>0</v>
      </c>
      <c r="W42" s="210"/>
      <c r="X42" s="363">
        <f t="shared" si="18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50">
        <v>107.5</v>
      </c>
      <c r="F43" s="156">
        <v>148.4</v>
      </c>
      <c r="G43" s="150">
        <f t="shared" si="9"/>
        <v>40.900000000000006</v>
      </c>
      <c r="H43" s="375">
        <f>F43/E43</f>
        <v>1.3804651162790698</v>
      </c>
      <c r="I43" s="158">
        <f t="shared" si="1"/>
        <v>33.400000000000006</v>
      </c>
      <c r="J43" s="210">
        <f>F43/D43</f>
        <v>1.2904347826086957</v>
      </c>
      <c r="K43" s="158"/>
      <c r="L43" s="158"/>
      <c r="M43" s="158"/>
      <c r="N43" s="158">
        <v>117.68</v>
      </c>
      <c r="O43" s="158">
        <f t="shared" si="14"/>
        <v>-2.680000000000007</v>
      </c>
      <c r="P43" s="210">
        <f t="shared" si="15"/>
        <v>0.9772263766145479</v>
      </c>
      <c r="Q43" s="158">
        <v>114.68</v>
      </c>
      <c r="R43" s="158">
        <f t="shared" si="5"/>
        <v>33.72</v>
      </c>
      <c r="S43" s="210">
        <f aca="true" t="shared" si="20" ref="S43:S51">F43/Q43</f>
        <v>1.2940355772584582</v>
      </c>
      <c r="T43" s="157">
        <f>E43-жовтень!E33</f>
        <v>15</v>
      </c>
      <c r="U43" s="160">
        <f>F43-жовтень!F33</f>
        <v>14.039999999999992</v>
      </c>
      <c r="V43" s="161">
        <f t="shared" si="10"/>
        <v>-0.960000000000008</v>
      </c>
      <c r="W43" s="210">
        <f>U43/T43</f>
        <v>0.9359999999999995</v>
      </c>
      <c r="X43" s="363">
        <f t="shared" si="18"/>
        <v>0.31680920064391027</v>
      </c>
    </row>
    <row r="44" spans="1:24" s="6" customFormat="1" ht="18" hidden="1">
      <c r="A44" s="8"/>
      <c r="B44" s="50" t="s">
        <v>277</v>
      </c>
      <c r="C44" s="102">
        <v>18031000</v>
      </c>
      <c r="D44" s="150">
        <v>52</v>
      </c>
      <c r="E44" s="103">
        <v>48.5</v>
      </c>
      <c r="F44" s="140">
        <v>86.74</v>
      </c>
      <c r="G44" s="103">
        <f t="shared" si="9"/>
        <v>38.239999999999995</v>
      </c>
      <c r="H44" s="376">
        <f>F44/E44</f>
        <v>1.7884536082474225</v>
      </c>
      <c r="I44" s="104">
        <f t="shared" si="1"/>
        <v>34.739999999999995</v>
      </c>
      <c r="J44" s="109">
        <f>F44/D44</f>
        <v>1.668076923076923</v>
      </c>
      <c r="K44" s="104"/>
      <c r="L44" s="104"/>
      <c r="M44" s="104"/>
      <c r="N44" s="104">
        <v>53.55</v>
      </c>
      <c r="O44" s="104">
        <f t="shared" si="14"/>
        <v>-1.5499999999999972</v>
      </c>
      <c r="P44" s="109">
        <f t="shared" si="15"/>
        <v>0.9710550887021476</v>
      </c>
      <c r="Q44" s="104">
        <v>52.05</v>
      </c>
      <c r="R44" s="104">
        <f t="shared" si="5"/>
        <v>34.69</v>
      </c>
      <c r="S44" s="109">
        <f t="shared" si="20"/>
        <v>1.666474543707973</v>
      </c>
      <c r="T44" s="105"/>
      <c r="U44" s="144"/>
      <c r="V44" s="106"/>
      <c r="W44" s="109"/>
      <c r="X44" s="363"/>
    </row>
    <row r="45" spans="1:24" s="6" customFormat="1" ht="18" hidden="1">
      <c r="A45" s="8"/>
      <c r="B45" s="50" t="s">
        <v>278</v>
      </c>
      <c r="C45" s="102">
        <v>18031100</v>
      </c>
      <c r="D45" s="150">
        <v>63</v>
      </c>
      <c r="E45" s="103">
        <v>59</v>
      </c>
      <c r="F45" s="140">
        <v>61.66</v>
      </c>
      <c r="G45" s="103">
        <f t="shared" si="9"/>
        <v>2.6599999999999966</v>
      </c>
      <c r="H45" s="376">
        <f>F45/E45</f>
        <v>1.0450847457627117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4"/>
        <v>-1.1400000000000006</v>
      </c>
      <c r="P45" s="109">
        <f t="shared" si="15"/>
        <v>0.9822263797942001</v>
      </c>
      <c r="Q45" s="104">
        <v>62.64</v>
      </c>
      <c r="R45" s="104">
        <f t="shared" si="5"/>
        <v>-0.980000000000004</v>
      </c>
      <c r="S45" s="109">
        <f t="shared" si="20"/>
        <v>0.9843550446998722</v>
      </c>
      <c r="T45" s="105"/>
      <c r="U45" s="144"/>
      <c r="V45" s="106"/>
      <c r="W45" s="109"/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-42.88</v>
      </c>
      <c r="G46" s="150">
        <f t="shared" si="9"/>
        <v>-42.88</v>
      </c>
      <c r="H46" s="375"/>
      <c r="I46" s="158">
        <f t="shared" si="1"/>
        <v>-42.88</v>
      </c>
      <c r="J46" s="210"/>
      <c r="K46" s="158"/>
      <c r="L46" s="158"/>
      <c r="M46" s="158"/>
      <c r="N46" s="158">
        <v>-177.97</v>
      </c>
      <c r="O46" s="158">
        <f t="shared" si="14"/>
        <v>177.97</v>
      </c>
      <c r="P46" s="210">
        <f t="shared" si="15"/>
        <v>0</v>
      </c>
      <c r="Q46" s="158">
        <v>-173.97</v>
      </c>
      <c r="R46" s="158">
        <f t="shared" si="5"/>
        <v>131.09</v>
      </c>
      <c r="S46" s="210">
        <f t="shared" si="20"/>
        <v>0.2464792780364431</v>
      </c>
      <c r="T46" s="157">
        <f>E46-жовтень!E34</f>
        <v>0</v>
      </c>
      <c r="U46" s="160">
        <f>F46-жовтень!F34</f>
        <v>0.5799999999999983</v>
      </c>
      <c r="V46" s="161">
        <f t="shared" si="10"/>
        <v>0.5799999999999983</v>
      </c>
      <c r="W46" s="210"/>
      <c r="X46" s="363">
        <f t="shared" si="18"/>
        <v>0.2464792780364431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v>187755</v>
      </c>
      <c r="F47" s="163">
        <v>211975.45</v>
      </c>
      <c r="G47" s="150">
        <f t="shared" si="9"/>
        <v>24220.45000000001</v>
      </c>
      <c r="H47" s="375">
        <f>F47/E47*100</f>
        <v>112.90002929349419</v>
      </c>
      <c r="I47" s="158">
        <f t="shared" si="1"/>
        <v>17581.350000000006</v>
      </c>
      <c r="J47" s="210">
        <f>F47/D47</f>
        <v>1.090441788099536</v>
      </c>
      <c r="K47" s="158"/>
      <c r="L47" s="158"/>
      <c r="M47" s="158"/>
      <c r="N47" s="158">
        <v>158268.6</v>
      </c>
      <c r="O47" s="158">
        <f t="shared" si="14"/>
        <v>36125.5</v>
      </c>
      <c r="P47" s="210">
        <f t="shared" si="15"/>
        <v>1.2282543726298205</v>
      </c>
      <c r="Q47" s="178">
        <v>150029.99</v>
      </c>
      <c r="R47" s="178">
        <f t="shared" si="5"/>
        <v>61945.46000000002</v>
      </c>
      <c r="S47" s="226">
        <f t="shared" si="20"/>
        <v>1.4128871834224612</v>
      </c>
      <c r="T47" s="157">
        <f>E47-жовтень!E35</f>
        <v>18700</v>
      </c>
      <c r="U47" s="160">
        <f>F47-жовтень!F35</f>
        <v>31116.940000000002</v>
      </c>
      <c r="V47" s="161">
        <f t="shared" si="10"/>
        <v>12416.940000000002</v>
      </c>
      <c r="W47" s="210">
        <f>U47/T47</f>
        <v>1.6640074866310162</v>
      </c>
      <c r="X47" s="363">
        <f t="shared" si="18"/>
        <v>0.1846328107926407</v>
      </c>
    </row>
    <row r="48" spans="1:24" s="6" customFormat="1" ht="15" customHeight="1" hidden="1">
      <c r="A48" s="8"/>
      <c r="B48" s="50" t="s">
        <v>90</v>
      </c>
      <c r="C48" s="102">
        <v>18050200</v>
      </c>
      <c r="D48" s="103">
        <v>0</v>
      </c>
      <c r="E48" s="103"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4"/>
        <v>-0.23</v>
      </c>
      <c r="P48" s="109">
        <f t="shared" si="15"/>
        <v>0</v>
      </c>
      <c r="Q48" s="127">
        <v>0.23</v>
      </c>
      <c r="R48" s="127">
        <f t="shared" si="5"/>
        <v>-0.22</v>
      </c>
      <c r="S48" s="216">
        <f t="shared" si="20"/>
        <v>0.043478260869565216</v>
      </c>
      <c r="T48" s="105">
        <f>E48-жовтень!E36</f>
        <v>0</v>
      </c>
      <c r="U48" s="144">
        <f>F48-жовтень!F36</f>
        <v>0</v>
      </c>
      <c r="V48" s="106">
        <f t="shared" si="10"/>
        <v>0</v>
      </c>
      <c r="W48" s="109"/>
      <c r="X48" s="363">
        <f t="shared" si="18"/>
        <v>0.043478260869565216</v>
      </c>
    </row>
    <row r="49" spans="1:24" s="6" customFormat="1" ht="15" customHeight="1" hidden="1">
      <c r="A49" s="8"/>
      <c r="B49" s="50" t="s">
        <v>91</v>
      </c>
      <c r="C49" s="102">
        <v>18050300</v>
      </c>
      <c r="D49" s="103">
        <v>41000</v>
      </c>
      <c r="E49" s="103">
        <v>39500</v>
      </c>
      <c r="F49" s="140">
        <v>43108.62</v>
      </c>
      <c r="G49" s="103">
        <f>F49-E49</f>
        <v>3608.6200000000026</v>
      </c>
      <c r="H49" s="376">
        <f>F49/E49</f>
        <v>1.0913574683544305</v>
      </c>
      <c r="I49" s="104">
        <f t="shared" si="1"/>
        <v>2108.6200000000026</v>
      </c>
      <c r="J49" s="109">
        <f>F49/D49</f>
        <v>1.051429756097561</v>
      </c>
      <c r="K49" s="104"/>
      <c r="L49" s="104"/>
      <c r="M49" s="104"/>
      <c r="N49" s="104">
        <v>39173.72</v>
      </c>
      <c r="O49" s="104">
        <f t="shared" si="14"/>
        <v>1826.2799999999988</v>
      </c>
      <c r="P49" s="109">
        <f t="shared" si="15"/>
        <v>1.0466200299588602</v>
      </c>
      <c r="Q49" s="127">
        <v>37146.19</v>
      </c>
      <c r="R49" s="127">
        <f t="shared" si="5"/>
        <v>5962.43</v>
      </c>
      <c r="S49" s="216">
        <f t="shared" si="20"/>
        <v>1.160512558623105</v>
      </c>
      <c r="T49" s="105">
        <f>E49-жовтень!E37</f>
        <v>4860</v>
      </c>
      <c r="U49" s="144">
        <f>F49-жовтень!F37</f>
        <v>8242.75</v>
      </c>
      <c r="V49" s="106">
        <f t="shared" si="10"/>
        <v>3382.75</v>
      </c>
      <c r="W49" s="109">
        <f>U49/T49</f>
        <v>1.6960390946502057</v>
      </c>
      <c r="X49" s="363">
        <f t="shared" si="18"/>
        <v>0.11389252866424493</v>
      </c>
    </row>
    <row r="50" spans="1:24" s="6" customFormat="1" ht="15" customHeight="1" hidden="1">
      <c r="A50" s="8"/>
      <c r="B50" s="50" t="s">
        <v>92</v>
      </c>
      <c r="C50" s="102">
        <v>18050400</v>
      </c>
      <c r="D50" s="103">
        <v>153339.1</v>
      </c>
      <c r="E50" s="103">
        <v>148200</v>
      </c>
      <c r="F50" s="140">
        <v>168801.67</v>
      </c>
      <c r="G50" s="103">
        <f>F50-E50</f>
        <v>20601.670000000013</v>
      </c>
      <c r="H50" s="376">
        <f>F50/E50</f>
        <v>1.1390126180836708</v>
      </c>
      <c r="I50" s="104">
        <f t="shared" si="1"/>
        <v>15462.570000000007</v>
      </c>
      <c r="J50" s="109">
        <f>F50/D50</f>
        <v>1.1008390554007426</v>
      </c>
      <c r="K50" s="104"/>
      <c r="L50" s="104"/>
      <c r="M50" s="104"/>
      <c r="N50" s="104">
        <v>119039.46</v>
      </c>
      <c r="O50" s="104">
        <f t="shared" si="14"/>
        <v>34299.64</v>
      </c>
      <c r="P50" s="109">
        <f t="shared" si="15"/>
        <v>1.2881367237384982</v>
      </c>
      <c r="Q50" s="127">
        <v>112830.49</v>
      </c>
      <c r="R50" s="127">
        <f t="shared" si="5"/>
        <v>55971.18000000001</v>
      </c>
      <c r="S50" s="216">
        <f t="shared" si="20"/>
        <v>1.4960643173666976</v>
      </c>
      <c r="T50" s="105">
        <f>E50-жовтень!E38</f>
        <v>13840</v>
      </c>
      <c r="U50" s="144">
        <f>F50-жовтень!F38</f>
        <v>22874.180000000022</v>
      </c>
      <c r="V50" s="106">
        <f t="shared" si="10"/>
        <v>9034.180000000022</v>
      </c>
      <c r="W50" s="109">
        <f>U50/T50</f>
        <v>1.6527586705202328</v>
      </c>
      <c r="X50" s="363">
        <f t="shared" si="18"/>
        <v>0.20792759362819946</v>
      </c>
    </row>
    <row r="51" spans="1:24" s="6" customFormat="1" ht="15" customHeight="1" hidden="1">
      <c r="A51" s="8"/>
      <c r="B51" s="50" t="s">
        <v>93</v>
      </c>
      <c r="C51" s="102">
        <v>18050500</v>
      </c>
      <c r="D51" s="103">
        <v>55</v>
      </c>
      <c r="E51" s="103">
        <v>55</v>
      </c>
      <c r="F51" s="140">
        <v>65.14</v>
      </c>
      <c r="G51" s="103">
        <f>F51-E51</f>
        <v>10.14</v>
      </c>
      <c r="H51" s="376">
        <f>F51/E51</f>
        <v>1.1843636363636363</v>
      </c>
      <c r="I51" s="104">
        <f t="shared" si="1"/>
        <v>10.14</v>
      </c>
      <c r="J51" s="109">
        <f>F51/D51</f>
        <v>1.1843636363636363</v>
      </c>
      <c r="K51" s="104"/>
      <c r="L51" s="104"/>
      <c r="M51" s="104"/>
      <c r="N51" s="104">
        <v>55.18</v>
      </c>
      <c r="O51" s="104">
        <f t="shared" si="14"/>
        <v>-0.17999999999999972</v>
      </c>
      <c r="P51" s="109">
        <f t="shared" si="15"/>
        <v>0.9967379485320769</v>
      </c>
      <c r="Q51" s="127">
        <v>53.08</v>
      </c>
      <c r="R51" s="127">
        <f t="shared" si="5"/>
        <v>12.060000000000002</v>
      </c>
      <c r="S51" s="216">
        <f t="shared" si="20"/>
        <v>1.227204220045215</v>
      </c>
      <c r="T51" s="105">
        <f>E51-жовтень!E39</f>
        <v>0</v>
      </c>
      <c r="U51" s="144">
        <f>F51-жовтень!F39</f>
        <v>0</v>
      </c>
      <c r="V51" s="106">
        <f t="shared" si="10"/>
        <v>0</v>
      </c>
      <c r="W51" s="109"/>
      <c r="X51" s="363">
        <f t="shared" si="18"/>
        <v>0.23046627151313803</v>
      </c>
    </row>
    <row r="52" spans="1:24" s="6" customFormat="1" ht="15" customHeight="1" hidden="1">
      <c r="A52" s="8"/>
      <c r="B52" s="232"/>
      <c r="C52" s="43"/>
      <c r="D52" s="34">
        <v>0</v>
      </c>
      <c r="E52" s="34"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5"/>
        <v>0</v>
      </c>
      <c r="S52" s="217"/>
      <c r="T52" s="137">
        <f>E52-жовтень!E40</f>
        <v>0</v>
      </c>
      <c r="U52" s="145">
        <f>F52-жовтень!F40</f>
        <v>0</v>
      </c>
      <c r="V52" s="161">
        <f t="shared" si="10"/>
        <v>0</v>
      </c>
      <c r="W52" s="94"/>
      <c r="X52" s="363">
        <f t="shared" si="18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62177.9</v>
      </c>
      <c r="F53" s="151">
        <f>F54+F55+F56+F57+F58+F60+F62+F63+F64+F65+F66+F71+F72+F76+F59+F61</f>
        <v>62133.33999999999</v>
      </c>
      <c r="G53" s="151">
        <f>G54+G55+G56+G57+G58+G60+G62+G63+G64+G65+G66+G71+G72+G76+G59+G61</f>
        <v>-44.559999999998524</v>
      </c>
      <c r="H53" s="205">
        <f aca="true" t="shared" si="21" ref="H53:H72">F53/E53</f>
        <v>0.9992833466553227</v>
      </c>
      <c r="I53" s="153">
        <f>F53-D53</f>
        <v>-1161.6600000000108</v>
      </c>
      <c r="J53" s="219">
        <f aca="true" t="shared" si="22" ref="J53:J72">F53/D53</f>
        <v>0.9816468915396159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v>61087.94</v>
      </c>
      <c r="R53" s="151">
        <f t="shared" si="5"/>
        <v>1045.399999999987</v>
      </c>
      <c r="S53" s="205">
        <f>F53/Q53</f>
        <v>1.0171130340947818</v>
      </c>
      <c r="T53" s="151">
        <f>T54+T55+T56+T57+T58+T60+T62+T63+T64+T65+T66+T71+T72+T76+T59+T61</f>
        <v>11963.8</v>
      </c>
      <c r="U53" s="151">
        <f>U54+U55+U56+U57+U58+U60+U62+U63+U64+U65+U66+U71+U72+U76+U59+U61</f>
        <v>5942.520000000002</v>
      </c>
      <c r="V53" s="151">
        <f>V54+V55+V56+V57+V58+V60+V62+V63+V64+V65+V66+V71+V72+V76</f>
        <v>-6016.669999999997</v>
      </c>
      <c r="W53" s="205">
        <f>U53/T53</f>
        <v>0.4967084036844483</v>
      </c>
      <c r="X53" s="363">
        <f t="shared" si="18"/>
        <v>0.09649437602937971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v>580</v>
      </c>
      <c r="F54" s="156">
        <v>2633.96</v>
      </c>
      <c r="G54" s="150">
        <f aca="true" t="shared" si="23" ref="G54:G78">F54-E54</f>
        <v>2053.96</v>
      </c>
      <c r="H54" s="380">
        <f t="shared" si="21"/>
        <v>4.541310344827586</v>
      </c>
      <c r="I54" s="165">
        <f>F54-D54</f>
        <v>2053.96</v>
      </c>
      <c r="J54" s="218">
        <f t="shared" si="22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v>551.04</v>
      </c>
      <c r="R54" s="165">
        <f t="shared" si="5"/>
        <v>2082.92</v>
      </c>
      <c r="S54" s="218">
        <f>F54/Q54</f>
        <v>4.779979674796748</v>
      </c>
      <c r="T54" s="157">
        <f>E54-жовтень!E42</f>
        <v>100</v>
      </c>
      <c r="U54" s="160">
        <f>F54-жовтень!F42</f>
        <v>960.5900000000001</v>
      </c>
      <c r="V54" s="161">
        <f aca="true" t="shared" si="24" ref="V54:V78">U54-T54</f>
        <v>860.5900000000001</v>
      </c>
      <c r="W54" s="218">
        <f>U54/T54</f>
        <v>9.605900000000002</v>
      </c>
      <c r="X54" s="363">
        <f t="shared" si="18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v>26400</v>
      </c>
      <c r="F55" s="156">
        <v>24690.14</v>
      </c>
      <c r="G55" s="150">
        <f t="shared" si="23"/>
        <v>-1709.8600000000006</v>
      </c>
      <c r="H55" s="380">
        <f t="shared" si="21"/>
        <v>0.9352325757575758</v>
      </c>
      <c r="I55" s="165">
        <f aca="true" t="shared" si="25" ref="I55:I78">F55-D55</f>
        <v>-1709.8600000000006</v>
      </c>
      <c r="J55" s="218">
        <f t="shared" si="22"/>
        <v>0.9352325757575758</v>
      </c>
      <c r="K55" s="165"/>
      <c r="L55" s="165"/>
      <c r="M55" s="165"/>
      <c r="N55" s="165">
        <v>36136.57</v>
      </c>
      <c r="O55" s="165">
        <f aca="true" t="shared" si="26" ref="O55:O72">D55-N55</f>
        <v>-9736.57</v>
      </c>
      <c r="P55" s="218">
        <f aca="true" t="shared" si="27" ref="P55:P72">D55/N55</f>
        <v>0.7305618657221756</v>
      </c>
      <c r="Q55" s="165">
        <v>31079.13</v>
      </c>
      <c r="R55" s="165">
        <f t="shared" si="5"/>
        <v>-6388.990000000002</v>
      </c>
      <c r="S55" s="218">
        <f aca="true" t="shared" si="28" ref="S55:S78">F55/Q55</f>
        <v>0.7944282867634969</v>
      </c>
      <c r="T55" s="157">
        <f>E55-жовтень!E43</f>
        <v>1500</v>
      </c>
      <c r="U55" s="160">
        <f>F55-жовтень!F43</f>
        <v>2176.119999999999</v>
      </c>
      <c r="V55" s="161">
        <f t="shared" si="24"/>
        <v>676.119999999999</v>
      </c>
      <c r="W55" s="218">
        <f aca="true" t="shared" si="29" ref="W55:W77">U55/T55</f>
        <v>1.450746666666666</v>
      </c>
      <c r="X55" s="363">
        <f t="shared" si="18"/>
        <v>0.06386642104132123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v>27</v>
      </c>
      <c r="F56" s="156">
        <v>143.3</v>
      </c>
      <c r="G56" s="150">
        <f t="shared" si="23"/>
        <v>116.30000000000001</v>
      </c>
      <c r="H56" s="380">
        <f t="shared" si="21"/>
        <v>5.307407407407408</v>
      </c>
      <c r="I56" s="165">
        <f t="shared" si="25"/>
        <v>103.30000000000001</v>
      </c>
      <c r="J56" s="218">
        <f t="shared" si="22"/>
        <v>3.5825000000000005</v>
      </c>
      <c r="K56" s="165"/>
      <c r="L56" s="165"/>
      <c r="M56" s="165"/>
      <c r="N56" s="165">
        <v>31.98</v>
      </c>
      <c r="O56" s="165">
        <f t="shared" si="26"/>
        <v>8.02</v>
      </c>
      <c r="P56" s="218">
        <f t="shared" si="27"/>
        <v>1.2507817385866167</v>
      </c>
      <c r="Q56" s="165">
        <v>31.98</v>
      </c>
      <c r="R56" s="165">
        <f t="shared" si="5"/>
        <v>111.32000000000001</v>
      </c>
      <c r="S56" s="218">
        <f t="shared" si="28"/>
        <v>4.480925578486555</v>
      </c>
      <c r="T56" s="157">
        <f>E56-жовтень!E44</f>
        <v>1</v>
      </c>
      <c r="U56" s="160">
        <f>F56-жовтень!F44</f>
        <v>5</v>
      </c>
      <c r="V56" s="161">
        <f t="shared" si="24"/>
        <v>4</v>
      </c>
      <c r="W56" s="218">
        <f t="shared" si="29"/>
        <v>5</v>
      </c>
      <c r="X56" s="363">
        <f t="shared" si="18"/>
        <v>3.230143839899938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v>13</v>
      </c>
      <c r="F57" s="156">
        <v>12.95</v>
      </c>
      <c r="G57" s="150">
        <f t="shared" si="23"/>
        <v>-0.05000000000000071</v>
      </c>
      <c r="H57" s="380">
        <f t="shared" si="21"/>
        <v>0.9961538461538461</v>
      </c>
      <c r="I57" s="165">
        <f t="shared" si="25"/>
        <v>-0.05000000000000071</v>
      </c>
      <c r="J57" s="218">
        <f t="shared" si="22"/>
        <v>0.9961538461538461</v>
      </c>
      <c r="K57" s="165"/>
      <c r="L57" s="165"/>
      <c r="M57" s="165"/>
      <c r="N57" s="165">
        <v>0.1</v>
      </c>
      <c r="O57" s="165">
        <f t="shared" si="26"/>
        <v>12.9</v>
      </c>
      <c r="P57" s="218">
        <f t="shared" si="27"/>
        <v>130</v>
      </c>
      <c r="Q57" s="165">
        <v>0.1</v>
      </c>
      <c r="R57" s="165">
        <f t="shared" si="5"/>
        <v>12.85</v>
      </c>
      <c r="S57" s="218"/>
      <c r="T57" s="157">
        <f>E57-жовтень!E45</f>
        <v>13</v>
      </c>
      <c r="U57" s="160">
        <f>F57-жовтень!F45</f>
        <v>0</v>
      </c>
      <c r="V57" s="161">
        <f t="shared" si="24"/>
        <v>-13</v>
      </c>
      <c r="W57" s="218">
        <f t="shared" si="29"/>
        <v>0</v>
      </c>
      <c r="X57" s="363">
        <f t="shared" si="18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v>638</v>
      </c>
      <c r="F58" s="156">
        <v>656.44</v>
      </c>
      <c r="G58" s="150">
        <f t="shared" si="23"/>
        <v>18.440000000000055</v>
      </c>
      <c r="H58" s="380">
        <f t="shared" si="21"/>
        <v>1.0289028213166145</v>
      </c>
      <c r="I58" s="165">
        <f t="shared" si="25"/>
        <v>-3.5599999999999454</v>
      </c>
      <c r="J58" s="218">
        <f t="shared" si="22"/>
        <v>0.9946060606060607</v>
      </c>
      <c r="K58" s="165"/>
      <c r="L58" s="165"/>
      <c r="M58" s="165"/>
      <c r="N58" s="165">
        <v>241.07</v>
      </c>
      <c r="O58" s="165">
        <f t="shared" si="26"/>
        <v>418.93</v>
      </c>
      <c r="P58" s="218">
        <f t="shared" si="27"/>
        <v>2.7377940017422326</v>
      </c>
      <c r="Q58" s="165">
        <v>225.51</v>
      </c>
      <c r="R58" s="165">
        <f t="shared" si="5"/>
        <v>430.93000000000006</v>
      </c>
      <c r="S58" s="218">
        <f t="shared" si="28"/>
        <v>2.9109130415502644</v>
      </c>
      <c r="T58" s="157">
        <f>E58-жовтень!E46</f>
        <v>422</v>
      </c>
      <c r="U58" s="160">
        <f>F58-жовтень!F46</f>
        <v>13.360000000000014</v>
      </c>
      <c r="V58" s="161">
        <f t="shared" si="24"/>
        <v>-408.64</v>
      </c>
      <c r="W58" s="218">
        <f t="shared" si="29"/>
        <v>0.03165876777251188</v>
      </c>
      <c r="X58" s="363">
        <f t="shared" si="18"/>
        <v>0.17311903980803178</v>
      </c>
    </row>
    <row r="59" spans="1:24" s="6" customFormat="1" ht="46.5">
      <c r="A59" s="8"/>
      <c r="B59" s="349" t="s">
        <v>80</v>
      </c>
      <c r="C59" s="72">
        <v>21081500</v>
      </c>
      <c r="D59" s="150">
        <v>97.5</v>
      </c>
      <c r="E59" s="150">
        <v>88.4</v>
      </c>
      <c r="F59" s="156">
        <v>103.62</v>
      </c>
      <c r="G59" s="150">
        <f t="shared" si="23"/>
        <v>15.219999999999999</v>
      </c>
      <c r="H59" s="380">
        <f t="shared" si="21"/>
        <v>1.1721719457013575</v>
      </c>
      <c r="I59" s="165">
        <f t="shared" si="25"/>
        <v>6.1200000000000045</v>
      </c>
      <c r="J59" s="218">
        <f t="shared" si="22"/>
        <v>1.062769230769231</v>
      </c>
      <c r="K59" s="165"/>
      <c r="L59" s="165"/>
      <c r="M59" s="165"/>
      <c r="N59" s="165">
        <v>86.37</v>
      </c>
      <c r="O59" s="165">
        <f t="shared" si="26"/>
        <v>11.129999999999995</v>
      </c>
      <c r="P59" s="218">
        <f t="shared" si="27"/>
        <v>1.1288641889544981</v>
      </c>
      <c r="Q59" s="165">
        <v>85.37</v>
      </c>
      <c r="R59" s="165">
        <f t="shared" si="5"/>
        <v>18.25</v>
      </c>
      <c r="S59" s="218">
        <f t="shared" si="28"/>
        <v>1.2137753309124986</v>
      </c>
      <c r="T59" s="157">
        <f>E59-жовтень!E47</f>
        <v>6.800000000000011</v>
      </c>
      <c r="U59" s="160">
        <f>F59-жовтень!F47</f>
        <v>25.189999999999998</v>
      </c>
      <c r="V59" s="161">
        <f t="shared" si="24"/>
        <v>18.389999999999986</v>
      </c>
      <c r="W59" s="218">
        <f t="shared" si="29"/>
        <v>3.704411764705876</v>
      </c>
      <c r="X59" s="363">
        <f t="shared" si="18"/>
        <v>0.08491114195800042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v>960</v>
      </c>
      <c r="F60" s="156">
        <v>1076.58</v>
      </c>
      <c r="G60" s="150">
        <f t="shared" si="23"/>
        <v>116.57999999999993</v>
      </c>
      <c r="H60" s="380">
        <f t="shared" si="21"/>
        <v>1.1214374999999999</v>
      </c>
      <c r="I60" s="165">
        <f t="shared" si="25"/>
        <v>96.57999999999993</v>
      </c>
      <c r="J60" s="218">
        <f t="shared" si="22"/>
        <v>1.0985510204081632</v>
      </c>
      <c r="K60" s="165"/>
      <c r="L60" s="165"/>
      <c r="M60" s="165"/>
      <c r="N60" s="165">
        <v>791.33</v>
      </c>
      <c r="O60" s="165">
        <f t="shared" si="26"/>
        <v>188.66999999999996</v>
      </c>
      <c r="P60" s="218">
        <f t="shared" si="27"/>
        <v>1.238421391834001</v>
      </c>
      <c r="Q60" s="165">
        <v>629.78</v>
      </c>
      <c r="R60" s="165">
        <f t="shared" si="5"/>
        <v>446.79999999999995</v>
      </c>
      <c r="S60" s="218">
        <f t="shared" si="28"/>
        <v>1.709454095080822</v>
      </c>
      <c r="T60" s="157">
        <f>E60-жовтень!E48</f>
        <v>260</v>
      </c>
      <c r="U60" s="160">
        <f>F60-жовтень!F48</f>
        <v>68.63999999999987</v>
      </c>
      <c r="V60" s="161">
        <f t="shared" si="24"/>
        <v>-191.36000000000013</v>
      </c>
      <c r="W60" s="218">
        <f t="shared" si="29"/>
        <v>0.2639999999999995</v>
      </c>
      <c r="X60" s="363">
        <f t="shared" si="18"/>
        <v>0.4710327032468209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v>23</v>
      </c>
      <c r="F61" s="156">
        <v>23.38</v>
      </c>
      <c r="G61" s="150">
        <f t="shared" si="23"/>
        <v>0.379999999999999</v>
      </c>
      <c r="H61" s="380">
        <f t="shared" si="21"/>
        <v>1.0165217391304346</v>
      </c>
      <c r="I61" s="165">
        <f t="shared" si="25"/>
        <v>0.379999999999999</v>
      </c>
      <c r="J61" s="218">
        <f t="shared" si="22"/>
        <v>1.0165217391304346</v>
      </c>
      <c r="K61" s="165"/>
      <c r="L61" s="165"/>
      <c r="M61" s="165"/>
      <c r="N61" s="165">
        <v>0</v>
      </c>
      <c r="O61" s="165">
        <f t="shared" si="26"/>
        <v>23</v>
      </c>
      <c r="P61" s="218" t="e">
        <f t="shared" si="27"/>
        <v>#DIV/0!</v>
      </c>
      <c r="Q61" s="165"/>
      <c r="R61" s="165">
        <f t="shared" si="5"/>
        <v>23.38</v>
      </c>
      <c r="S61" s="218"/>
      <c r="T61" s="157">
        <f>E61-жовтень!E49</f>
        <v>23</v>
      </c>
      <c r="U61" s="160">
        <f>F61-жовтень!F49</f>
        <v>0</v>
      </c>
      <c r="V61" s="161">
        <f t="shared" si="24"/>
        <v>-23</v>
      </c>
      <c r="W61" s="218">
        <f t="shared" si="29"/>
        <v>0</v>
      </c>
      <c r="X61" s="363" t="e">
        <f t="shared" si="18"/>
        <v>#DIV/0!</v>
      </c>
    </row>
    <row r="62" spans="1:24" s="6" customFormat="1" ht="18">
      <c r="A62" s="8"/>
      <c r="B62" s="355" t="s">
        <v>78</v>
      </c>
      <c r="C62" s="72">
        <v>22012500</v>
      </c>
      <c r="D62" s="150">
        <v>19000</v>
      </c>
      <c r="E62" s="150">
        <v>18300</v>
      </c>
      <c r="F62" s="156">
        <v>18105.81</v>
      </c>
      <c r="G62" s="150">
        <f t="shared" si="23"/>
        <v>-194.1899999999987</v>
      </c>
      <c r="H62" s="380">
        <f t="shared" si="21"/>
        <v>0.989388524590164</v>
      </c>
      <c r="I62" s="165">
        <f t="shared" si="25"/>
        <v>-894.1899999999987</v>
      </c>
      <c r="J62" s="218">
        <f t="shared" si="22"/>
        <v>0.9529373684210527</v>
      </c>
      <c r="K62" s="165"/>
      <c r="L62" s="165"/>
      <c r="M62" s="165"/>
      <c r="N62" s="165">
        <v>11422.5</v>
      </c>
      <c r="O62" s="165">
        <f t="shared" si="26"/>
        <v>7577.5</v>
      </c>
      <c r="P62" s="218">
        <f t="shared" si="27"/>
        <v>1.663383672576056</v>
      </c>
      <c r="Q62" s="165">
        <v>10239.21</v>
      </c>
      <c r="R62" s="165">
        <f t="shared" si="5"/>
        <v>7866.600000000002</v>
      </c>
      <c r="S62" s="218">
        <f t="shared" si="28"/>
        <v>1.768281928000305</v>
      </c>
      <c r="T62" s="157">
        <f>E62-жовтень!E50</f>
        <v>8660</v>
      </c>
      <c r="U62" s="160">
        <f>F62-жовтень!F50</f>
        <v>1604.760000000002</v>
      </c>
      <c r="V62" s="161">
        <f t="shared" si="24"/>
        <v>-7055.239999999998</v>
      </c>
      <c r="W62" s="218">
        <f t="shared" si="29"/>
        <v>0.18530715935334896</v>
      </c>
      <c r="X62" s="363">
        <f t="shared" si="18"/>
        <v>0.10489825542424902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v>505</v>
      </c>
      <c r="F63" s="156">
        <v>599.14</v>
      </c>
      <c r="G63" s="150">
        <f t="shared" si="23"/>
        <v>94.13999999999999</v>
      </c>
      <c r="H63" s="380">
        <f t="shared" si="21"/>
        <v>1.1864158415841584</v>
      </c>
      <c r="I63" s="165">
        <f t="shared" si="25"/>
        <v>69.13999999999999</v>
      </c>
      <c r="J63" s="218">
        <f t="shared" si="22"/>
        <v>1.1304528301886791</v>
      </c>
      <c r="K63" s="165"/>
      <c r="L63" s="165"/>
      <c r="M63" s="165"/>
      <c r="N63" s="165">
        <v>323.25</v>
      </c>
      <c r="O63" s="165">
        <f t="shared" si="26"/>
        <v>206.75</v>
      </c>
      <c r="P63" s="218">
        <f t="shared" si="27"/>
        <v>1.639597834493426</v>
      </c>
      <c r="Q63" s="165">
        <v>282.65</v>
      </c>
      <c r="R63" s="165">
        <f t="shared" si="5"/>
        <v>316.49</v>
      </c>
      <c r="S63" s="218">
        <f t="shared" si="28"/>
        <v>2.119724040332567</v>
      </c>
      <c r="T63" s="157">
        <f>E63-жовтень!E51</f>
        <v>245</v>
      </c>
      <c r="U63" s="160">
        <f>F63-жовтень!F51</f>
        <v>68.17999999999995</v>
      </c>
      <c r="V63" s="161">
        <f t="shared" si="24"/>
        <v>-176.82000000000005</v>
      </c>
      <c r="W63" s="218">
        <f t="shared" si="29"/>
        <v>0.2782857142857141</v>
      </c>
      <c r="X63" s="363">
        <f t="shared" si="18"/>
        <v>0.4801262058391407</v>
      </c>
    </row>
    <row r="64" spans="1:24" s="6" customFormat="1" ht="31.5">
      <c r="A64" s="8"/>
      <c r="B64" s="33" t="s">
        <v>106</v>
      </c>
      <c r="C64" s="72">
        <v>22012900</v>
      </c>
      <c r="D64" s="150">
        <v>20</v>
      </c>
      <c r="E64" s="150">
        <v>19</v>
      </c>
      <c r="F64" s="156">
        <v>30.88</v>
      </c>
      <c r="G64" s="150">
        <f t="shared" si="23"/>
        <v>11.879999999999999</v>
      </c>
      <c r="H64" s="380">
        <f t="shared" si="21"/>
        <v>1.6252631578947367</v>
      </c>
      <c r="I64" s="165">
        <f t="shared" si="25"/>
        <v>10.879999999999999</v>
      </c>
      <c r="J64" s="218">
        <f t="shared" si="22"/>
        <v>1.544</v>
      </c>
      <c r="K64" s="165"/>
      <c r="L64" s="165"/>
      <c r="M64" s="165"/>
      <c r="N64" s="165">
        <v>22.36</v>
      </c>
      <c r="O64" s="165">
        <f t="shared" si="26"/>
        <v>-2.3599999999999994</v>
      </c>
      <c r="P64" s="218">
        <f t="shared" si="27"/>
        <v>0.8944543828264758</v>
      </c>
      <c r="Q64" s="165">
        <v>19.16</v>
      </c>
      <c r="R64" s="165">
        <f t="shared" si="5"/>
        <v>11.719999999999999</v>
      </c>
      <c r="S64" s="218">
        <f t="shared" si="28"/>
        <v>1.6116910229645094</v>
      </c>
      <c r="T64" s="157">
        <f>E64-жовтень!E52</f>
        <v>1</v>
      </c>
      <c r="U64" s="160">
        <f>F64-жовтень!F52</f>
        <v>0</v>
      </c>
      <c r="V64" s="161">
        <f t="shared" si="24"/>
        <v>-1</v>
      </c>
      <c r="W64" s="218">
        <f t="shared" si="29"/>
        <v>0</v>
      </c>
      <c r="X64" s="363">
        <f t="shared" si="18"/>
        <v>0.7172366401380336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v>6447</v>
      </c>
      <c r="F65" s="156">
        <v>5925.6</v>
      </c>
      <c r="G65" s="150">
        <f t="shared" si="23"/>
        <v>-521.3999999999996</v>
      </c>
      <c r="H65" s="380">
        <f t="shared" si="21"/>
        <v>0.9191251744997674</v>
      </c>
      <c r="I65" s="165">
        <f t="shared" si="25"/>
        <v>-526.3999999999996</v>
      </c>
      <c r="J65" s="218">
        <f t="shared" si="22"/>
        <v>0.9184128952262864</v>
      </c>
      <c r="K65" s="165"/>
      <c r="L65" s="165"/>
      <c r="M65" s="165"/>
      <c r="N65" s="165">
        <v>7230.43</v>
      </c>
      <c r="O65" s="165">
        <f t="shared" si="26"/>
        <v>-778.4300000000003</v>
      </c>
      <c r="P65" s="218">
        <f t="shared" si="27"/>
        <v>0.8923397363642273</v>
      </c>
      <c r="Q65" s="165">
        <v>6734.69</v>
      </c>
      <c r="R65" s="165">
        <f t="shared" si="5"/>
        <v>-809.0899999999992</v>
      </c>
      <c r="S65" s="218">
        <f t="shared" si="28"/>
        <v>0.8798623247692174</v>
      </c>
      <c r="T65" s="157">
        <f>E65-жовтень!E53</f>
        <v>382</v>
      </c>
      <c r="U65" s="160">
        <f>F65-жовтень!F53</f>
        <v>517.4100000000008</v>
      </c>
      <c r="V65" s="161">
        <f t="shared" si="24"/>
        <v>135.41000000000076</v>
      </c>
      <c r="W65" s="218">
        <f t="shared" si="29"/>
        <v>1.354476439790578</v>
      </c>
      <c r="X65" s="363">
        <f t="shared" si="18"/>
        <v>-0.012477411595009813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v>985</v>
      </c>
      <c r="F66" s="156">
        <v>770.3</v>
      </c>
      <c r="G66" s="150">
        <f t="shared" si="23"/>
        <v>-214.70000000000005</v>
      </c>
      <c r="H66" s="380">
        <f t="shared" si="21"/>
        <v>0.7820304568527918</v>
      </c>
      <c r="I66" s="165">
        <f t="shared" si="25"/>
        <v>-216.70000000000005</v>
      </c>
      <c r="J66" s="218">
        <f t="shared" si="22"/>
        <v>0.7804457953394123</v>
      </c>
      <c r="K66" s="165"/>
      <c r="L66" s="165"/>
      <c r="M66" s="165"/>
      <c r="N66" s="165">
        <v>5161.34</v>
      </c>
      <c r="O66" s="165">
        <f t="shared" si="26"/>
        <v>-4174.34</v>
      </c>
      <c r="P66" s="218">
        <f t="shared" si="27"/>
        <v>0.19122940941693437</v>
      </c>
      <c r="Q66" s="165">
        <v>5102.74</v>
      </c>
      <c r="R66" s="165">
        <f t="shared" si="5"/>
        <v>-4332.44</v>
      </c>
      <c r="S66" s="218">
        <f t="shared" si="28"/>
        <v>0.15095811270023557</v>
      </c>
      <c r="T66" s="157">
        <f>E66-жовтень!E54</f>
        <v>0</v>
      </c>
      <c r="U66" s="160">
        <f>F66-жовтень!F54</f>
        <v>63.569999999999936</v>
      </c>
      <c r="V66" s="161">
        <f t="shared" si="24"/>
        <v>63.569999999999936</v>
      </c>
      <c r="W66" s="218" t="e">
        <f t="shared" si="29"/>
        <v>#DIV/0!</v>
      </c>
      <c r="X66" s="363">
        <f t="shared" si="18"/>
        <v>-0.040271296716698796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v>820</v>
      </c>
      <c r="F67" s="140">
        <v>648.57</v>
      </c>
      <c r="G67" s="103">
        <f t="shared" si="23"/>
        <v>-171.42999999999995</v>
      </c>
      <c r="H67" s="376">
        <f t="shared" si="21"/>
        <v>0.790939024390244</v>
      </c>
      <c r="I67" s="104">
        <f t="shared" si="25"/>
        <v>-171.42999999999995</v>
      </c>
      <c r="J67" s="109">
        <f t="shared" si="22"/>
        <v>0.790939024390244</v>
      </c>
      <c r="K67" s="104"/>
      <c r="L67" s="104"/>
      <c r="M67" s="104"/>
      <c r="N67" s="104">
        <v>835.21</v>
      </c>
      <c r="O67" s="104">
        <f t="shared" si="26"/>
        <v>-15.210000000000036</v>
      </c>
      <c r="P67" s="109">
        <f t="shared" si="27"/>
        <v>0.9817890111468971</v>
      </c>
      <c r="Q67" s="104">
        <v>784.76</v>
      </c>
      <c r="R67" s="370">
        <f t="shared" si="5"/>
        <v>-136.18999999999994</v>
      </c>
      <c r="S67" s="371">
        <f t="shared" si="28"/>
        <v>0.8264564962536317</v>
      </c>
      <c r="T67" s="105">
        <f>E67-жовтень!E55</f>
        <v>0</v>
      </c>
      <c r="U67" s="144">
        <f>F67-жовтень!F55</f>
        <v>53.41000000000008</v>
      </c>
      <c r="V67" s="106">
        <f t="shared" si="24"/>
        <v>53.41000000000008</v>
      </c>
      <c r="W67" s="109" t="e">
        <f t="shared" si="29"/>
        <v>#DIV/0!</v>
      </c>
      <c r="X67" s="363">
        <f t="shared" si="18"/>
        <v>-0.15533251489326538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v>0</v>
      </c>
      <c r="F68" s="140">
        <v>0.18</v>
      </c>
      <c r="G68" s="103">
        <f t="shared" si="23"/>
        <v>0.18</v>
      </c>
      <c r="H68" s="376" t="e">
        <f t="shared" si="21"/>
        <v>#DIV/0!</v>
      </c>
      <c r="I68" s="104">
        <f t="shared" si="25"/>
        <v>-0.8200000000000001</v>
      </c>
      <c r="J68" s="109">
        <f t="shared" si="22"/>
        <v>0.18</v>
      </c>
      <c r="K68" s="104"/>
      <c r="L68" s="104"/>
      <c r="M68" s="104"/>
      <c r="N68" s="104">
        <v>0.38</v>
      </c>
      <c r="O68" s="104">
        <f t="shared" si="26"/>
        <v>0.62</v>
      </c>
      <c r="P68" s="109">
        <f t="shared" si="27"/>
        <v>2.6315789473684212</v>
      </c>
      <c r="Q68" s="104">
        <v>0.29</v>
      </c>
      <c r="R68" s="370">
        <f t="shared" si="5"/>
        <v>-0.10999999999999999</v>
      </c>
      <c r="S68" s="371">
        <f t="shared" si="28"/>
        <v>0.6206896551724138</v>
      </c>
      <c r="T68" s="105">
        <f>E68-жовтень!E56</f>
        <v>0</v>
      </c>
      <c r="U68" s="144">
        <f>F68-жовтень!F56</f>
        <v>0.009999999999999981</v>
      </c>
      <c r="V68" s="106">
        <f t="shared" si="24"/>
        <v>0.009999999999999981</v>
      </c>
      <c r="W68" s="109"/>
      <c r="X68" s="363">
        <f t="shared" si="18"/>
        <v>-2.0108892921960075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v>0</v>
      </c>
      <c r="F69" s="140">
        <v>0</v>
      </c>
      <c r="G69" s="103">
        <f t="shared" si="23"/>
        <v>0</v>
      </c>
      <c r="H69" s="376" t="e">
        <f t="shared" si="21"/>
        <v>#DIV/0!</v>
      </c>
      <c r="I69" s="104">
        <f t="shared" si="25"/>
        <v>-1</v>
      </c>
      <c r="J69" s="109">
        <f t="shared" si="22"/>
        <v>0</v>
      </c>
      <c r="K69" s="104"/>
      <c r="L69" s="104"/>
      <c r="M69" s="104"/>
      <c r="N69" s="104">
        <v>0.02</v>
      </c>
      <c r="O69" s="104">
        <f t="shared" si="26"/>
        <v>0.98</v>
      </c>
      <c r="P69" s="109">
        <f t="shared" si="27"/>
        <v>50</v>
      </c>
      <c r="Q69" s="104">
        <v>0.02</v>
      </c>
      <c r="R69" s="370">
        <f t="shared" si="5"/>
        <v>-0.02</v>
      </c>
      <c r="S69" s="371">
        <f t="shared" si="28"/>
        <v>0</v>
      </c>
      <c r="T69" s="105">
        <f>E69-жовтень!E57</f>
        <v>0</v>
      </c>
      <c r="U69" s="144">
        <f>F69-жовтень!F57</f>
        <v>0</v>
      </c>
      <c r="V69" s="106">
        <f t="shared" si="24"/>
        <v>0</v>
      </c>
      <c r="W69" s="109"/>
      <c r="X69" s="363">
        <f t="shared" si="18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v>165</v>
      </c>
      <c r="F70" s="140">
        <v>121.55</v>
      </c>
      <c r="G70" s="103">
        <f t="shared" si="23"/>
        <v>-43.45</v>
      </c>
      <c r="H70" s="376">
        <f t="shared" si="21"/>
        <v>0.7366666666666667</v>
      </c>
      <c r="I70" s="104">
        <f t="shared" si="25"/>
        <v>-43.45</v>
      </c>
      <c r="J70" s="109">
        <f t="shared" si="22"/>
        <v>0.7366666666666667</v>
      </c>
      <c r="K70" s="104"/>
      <c r="L70" s="104"/>
      <c r="M70" s="104"/>
      <c r="N70" s="104">
        <v>4325.74</v>
      </c>
      <c r="O70" s="104">
        <f t="shared" si="26"/>
        <v>-4160.74</v>
      </c>
      <c r="P70" s="109">
        <f t="shared" si="27"/>
        <v>0.03814376268569077</v>
      </c>
      <c r="Q70" s="104">
        <v>4317.57</v>
      </c>
      <c r="R70" s="370">
        <f t="shared" si="5"/>
        <v>-4196.0199999999995</v>
      </c>
      <c r="S70" s="371">
        <f t="shared" si="28"/>
        <v>0.028152409804589155</v>
      </c>
      <c r="T70" s="105">
        <f>E70-жовтень!E58</f>
        <v>0</v>
      </c>
      <c r="U70" s="144">
        <f>F70-жовтень!F58</f>
        <v>10.149999999999991</v>
      </c>
      <c r="V70" s="106">
        <f t="shared" si="24"/>
        <v>10.149999999999991</v>
      </c>
      <c r="W70" s="109" t="e">
        <f t="shared" si="29"/>
        <v>#DIV/0!</v>
      </c>
      <c r="X70" s="363">
        <f t="shared" si="18"/>
        <v>-0.009991352881101617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v>2.5</v>
      </c>
      <c r="F71" s="156">
        <v>2.04</v>
      </c>
      <c r="G71" s="150">
        <f t="shared" si="23"/>
        <v>-0.45999999999999996</v>
      </c>
      <c r="H71" s="380">
        <f t="shared" si="21"/>
        <v>0.8160000000000001</v>
      </c>
      <c r="I71" s="165">
        <f t="shared" si="25"/>
        <v>-0.45999999999999996</v>
      </c>
      <c r="J71" s="218">
        <f t="shared" si="22"/>
        <v>0.8160000000000001</v>
      </c>
      <c r="K71" s="165"/>
      <c r="L71" s="165"/>
      <c r="M71" s="165"/>
      <c r="N71" s="165">
        <v>2.46</v>
      </c>
      <c r="O71" s="165">
        <f t="shared" si="26"/>
        <v>0.040000000000000036</v>
      </c>
      <c r="P71" s="218">
        <f t="shared" si="27"/>
        <v>1.016260162601626</v>
      </c>
      <c r="Q71" s="165">
        <v>2.46</v>
      </c>
      <c r="R71" s="165">
        <f t="shared" si="5"/>
        <v>-0.41999999999999993</v>
      </c>
      <c r="S71" s="218">
        <f t="shared" si="28"/>
        <v>0.8292682926829269</v>
      </c>
      <c r="T71" s="157">
        <f>E71-жовтень!E59</f>
        <v>0</v>
      </c>
      <c r="U71" s="160">
        <f>F71-серпень!F59</f>
        <v>0</v>
      </c>
      <c r="V71" s="161">
        <f t="shared" si="24"/>
        <v>0</v>
      </c>
      <c r="W71" s="218"/>
      <c r="X71" s="363">
        <f t="shared" si="18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v>7100</v>
      </c>
      <c r="F72" s="156">
        <v>7217.02</v>
      </c>
      <c r="G72" s="150">
        <f t="shared" si="23"/>
        <v>117.02000000000044</v>
      </c>
      <c r="H72" s="380">
        <f t="shared" si="21"/>
        <v>1.016481690140845</v>
      </c>
      <c r="I72" s="165">
        <f t="shared" si="25"/>
        <v>-132.97999999999956</v>
      </c>
      <c r="J72" s="218">
        <f t="shared" si="22"/>
        <v>0.9819074829931973</v>
      </c>
      <c r="K72" s="165"/>
      <c r="L72" s="165"/>
      <c r="M72" s="165"/>
      <c r="N72" s="165">
        <v>6525.16</v>
      </c>
      <c r="O72" s="165">
        <f t="shared" si="26"/>
        <v>824.8400000000001</v>
      </c>
      <c r="P72" s="218">
        <f t="shared" si="27"/>
        <v>1.1264091608481632</v>
      </c>
      <c r="Q72" s="165">
        <v>5945.02</v>
      </c>
      <c r="R72" s="165">
        <f t="shared" si="5"/>
        <v>1272</v>
      </c>
      <c r="S72" s="218">
        <f t="shared" si="28"/>
        <v>1.2139605922267713</v>
      </c>
      <c r="T72" s="157">
        <f>E72-жовтень!E60</f>
        <v>350</v>
      </c>
      <c r="U72" s="160">
        <f>F72-жовтень!F60</f>
        <v>417.10000000000036</v>
      </c>
      <c r="V72" s="161">
        <f t="shared" si="24"/>
        <v>67.10000000000036</v>
      </c>
      <c r="W72" s="218">
        <f t="shared" si="29"/>
        <v>1.1917142857142868</v>
      </c>
      <c r="X72" s="363">
        <f t="shared" si="18"/>
        <v>0.0875514313786081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3"/>
        <v>0</v>
      </c>
      <c r="H73" s="380" t="e">
        <f>F73/E73*100</f>
        <v>#DIV/0!</v>
      </c>
      <c r="I73" s="165">
        <f t="shared" si="25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5"/>
        <v>0</v>
      </c>
      <c r="S73" s="218" t="e">
        <f t="shared" si="28"/>
        <v>#DIV/0!</v>
      </c>
      <c r="T73" s="157">
        <f>E73-серпень!E61</f>
        <v>0</v>
      </c>
      <c r="U73" s="160">
        <f>F73-серпень!F61</f>
        <v>0</v>
      </c>
      <c r="V73" s="161">
        <f t="shared" si="24"/>
        <v>0</v>
      </c>
      <c r="W73" s="218" t="e">
        <f t="shared" si="29"/>
        <v>#DIV/0!</v>
      </c>
      <c r="X73" s="363" t="e">
        <f t="shared" si="18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1931.09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v>1256.04</v>
      </c>
      <c r="R74" s="254"/>
      <c r="S74" s="305">
        <f t="shared" si="28"/>
        <v>1.5374430750613037</v>
      </c>
      <c r="T74" s="157"/>
      <c r="U74" s="179">
        <f>F74-жовтень!F62</f>
        <v>157.87999999999988</v>
      </c>
      <c r="V74" s="166">
        <f t="shared" si="24"/>
        <v>157.87999999999988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3"/>
        <v>0</v>
      </c>
      <c r="H75" s="380" t="e">
        <f>F75/E75*100</f>
        <v>#DIV/0!</v>
      </c>
      <c r="I75" s="165">
        <f t="shared" si="25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5"/>
        <v>0</v>
      </c>
      <c r="S75" s="218" t="e">
        <f t="shared" si="28"/>
        <v>#DIV/0!</v>
      </c>
      <c r="T75" s="157">
        <f>E75-серпень!E63</f>
        <v>0</v>
      </c>
      <c r="U75" s="160">
        <f>F75-серпень!F63</f>
        <v>0</v>
      </c>
      <c r="V75" s="161">
        <f t="shared" si="24"/>
        <v>0</v>
      </c>
      <c r="W75" s="218" t="e">
        <f t="shared" si="29"/>
        <v>#DIV/0!</v>
      </c>
      <c r="X75" s="363" t="e">
        <f t="shared" si="18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v>90</v>
      </c>
      <c r="F76" s="156">
        <v>142.18</v>
      </c>
      <c r="G76" s="150">
        <f t="shared" si="23"/>
        <v>52.18000000000001</v>
      </c>
      <c r="H76" s="380">
        <f>F76/E76</f>
        <v>1.579777777777778</v>
      </c>
      <c r="I76" s="165">
        <f t="shared" si="25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v>158.93</v>
      </c>
      <c r="R76" s="165">
        <f t="shared" si="5"/>
        <v>-16.75</v>
      </c>
      <c r="S76" s="218">
        <f t="shared" si="28"/>
        <v>0.8946076889196501</v>
      </c>
      <c r="T76" s="157">
        <f>E76-жовтень!E64</f>
        <v>0</v>
      </c>
      <c r="U76" s="160">
        <f>F76-жовтень!F64</f>
        <v>22.60000000000001</v>
      </c>
      <c r="V76" s="161">
        <f t="shared" si="24"/>
        <v>22.60000000000001</v>
      </c>
      <c r="W76" s="218" t="e">
        <f t="shared" si="29"/>
        <v>#DIV/0!</v>
      </c>
      <c r="X76" s="363">
        <f t="shared" si="18"/>
        <v>0.18889138687307283</v>
      </c>
    </row>
    <row r="77" spans="1:24" s="6" customFormat="1" ht="30.75">
      <c r="A77" s="8"/>
      <c r="B77" s="131" t="s">
        <v>44</v>
      </c>
      <c r="C77" s="43">
        <v>31010200</v>
      </c>
      <c r="D77" s="150">
        <v>15</v>
      </c>
      <c r="E77" s="150">
        <v>13.8</v>
      </c>
      <c r="F77" s="156">
        <v>34.22</v>
      </c>
      <c r="G77" s="150">
        <f t="shared" si="23"/>
        <v>20.419999999999998</v>
      </c>
      <c r="H77" s="380">
        <f>F77/E77</f>
        <v>2.479710144927536</v>
      </c>
      <c r="I77" s="165">
        <f t="shared" si="25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v>13.52</v>
      </c>
      <c r="R77" s="165">
        <f t="shared" si="5"/>
        <v>20.7</v>
      </c>
      <c r="S77" s="218">
        <f t="shared" si="28"/>
        <v>2.5310650887573964</v>
      </c>
      <c r="T77" s="157">
        <f>E77-жовтень!E65</f>
        <v>1.200000000000001</v>
      </c>
      <c r="U77" s="160">
        <f>F77-жовтень!F65</f>
        <v>0</v>
      </c>
      <c r="V77" s="161">
        <f t="shared" si="24"/>
        <v>-1.200000000000001</v>
      </c>
      <c r="W77" s="218">
        <f t="shared" si="29"/>
        <v>0</v>
      </c>
      <c r="X77" s="363">
        <f t="shared" si="18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v>0</v>
      </c>
      <c r="F78" s="156">
        <v>-5</v>
      </c>
      <c r="G78" s="150">
        <f t="shared" si="23"/>
        <v>-5</v>
      </c>
      <c r="H78" s="380" t="e">
        <f>F78/E78</f>
        <v>#DIV/0!</v>
      </c>
      <c r="I78" s="165">
        <f t="shared" si="25"/>
        <v>-5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v>1.07</v>
      </c>
      <c r="R78" s="165">
        <f t="shared" si="5"/>
        <v>-6.07</v>
      </c>
      <c r="S78" s="218">
        <f t="shared" si="28"/>
        <v>-4.672897196261682</v>
      </c>
      <c r="T78" s="157">
        <f>E78-жовтень!E66</f>
        <v>0</v>
      </c>
      <c r="U78" s="160">
        <f>F78-жовтень!F66</f>
        <v>0.03000000000000025</v>
      </c>
      <c r="V78" s="161">
        <f t="shared" si="24"/>
        <v>0.03000000000000025</v>
      </c>
      <c r="W78" s="218"/>
      <c r="X78" s="363">
        <f t="shared" si="18"/>
        <v>-4.672897196261682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1244757.3</v>
      </c>
      <c r="F79" s="151">
        <f>F8+F53+F77+F78</f>
        <v>1234299.14</v>
      </c>
      <c r="G79" s="151">
        <f>F79-E79</f>
        <v>-10458.160000000149</v>
      </c>
      <c r="H79" s="377">
        <f>F79/E79</f>
        <v>0.9915982336476354</v>
      </c>
      <c r="I79" s="153">
        <f>F79-D79</f>
        <v>-123191.9600000002</v>
      </c>
      <c r="J79" s="219">
        <f>F79/D79</f>
        <v>0.9092502632245617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v>951701.01</v>
      </c>
      <c r="R79" s="153">
        <f>F79-Q79</f>
        <v>282598.1299999999</v>
      </c>
      <c r="S79" s="219">
        <f>F79/Q79</f>
        <v>1.2969400337192034</v>
      </c>
      <c r="T79" s="151">
        <f>T8+T53+T77+T78</f>
        <v>129986</v>
      </c>
      <c r="U79" s="151">
        <f>U8+U53+U77+U78</f>
        <v>102254.98999999999</v>
      </c>
      <c r="V79" s="194">
        <f>U79-T79</f>
        <v>-27731.01000000001</v>
      </c>
      <c r="W79" s="219">
        <f>U79/T79</f>
        <v>0.786661563552998</v>
      </c>
      <c r="X79" s="363">
        <f t="shared" si="18"/>
        <v>0.008471558582712424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18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18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18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18"/>
        <v>0</v>
      </c>
    </row>
    <row r="84" spans="2:24" ht="25.5" customHeight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v>0.01</v>
      </c>
      <c r="R84" s="167">
        <f>F84-Q84</f>
        <v>0</v>
      </c>
      <c r="S84" s="209">
        <f>F84/Q84</f>
        <v>1</v>
      </c>
      <c r="T84" s="162">
        <f>E84-квітень!E72</f>
        <v>0</v>
      </c>
      <c r="U84" s="182">
        <f>F84-квітень!F72</f>
        <v>0</v>
      </c>
      <c r="V84" s="167"/>
      <c r="W84" s="209"/>
      <c r="X84" s="363">
        <f t="shared" si="18"/>
        <v>1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v>-10.19</v>
      </c>
      <c r="R85" s="167">
        <f>F85-Q85</f>
        <v>7.549999999999999</v>
      </c>
      <c r="S85" s="209">
        <f>F85/Q85</f>
        <v>0.2590775269872424</v>
      </c>
      <c r="T85" s="162">
        <f>E85-жовтень!E73</f>
        <v>0</v>
      </c>
      <c r="U85" s="160">
        <f>F85-жовтень!F73</f>
        <v>0</v>
      </c>
      <c r="V85" s="167">
        <f>U85-T85</f>
        <v>0</v>
      </c>
      <c r="W85" s="209"/>
      <c r="X85" s="363">
        <f t="shared" si="18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v>-10.18</v>
      </c>
      <c r="R86" s="187">
        <f aca="true" t="shared" si="30" ref="R86:R98">F86-Q86</f>
        <v>7.549999999999999</v>
      </c>
      <c r="S86" s="214">
        <f aca="true" t="shared" si="31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18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32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33" ref="O87:O98">D87-N87</f>
        <v>0</v>
      </c>
      <c r="P87" s="214" t="e">
        <f aca="true" t="shared" si="34" ref="P87:P98">D87/N87</f>
        <v>#DIV/0!</v>
      </c>
      <c r="Q87" s="187">
        <v>0</v>
      </c>
      <c r="R87" s="187">
        <f t="shared" si="30"/>
        <v>35.57</v>
      </c>
      <c r="S87" s="209"/>
      <c r="T87" s="186">
        <f>E87-жовтень!E75</f>
        <v>0</v>
      </c>
      <c r="U87" s="289">
        <f>F87-жовтень!F75</f>
        <v>0</v>
      </c>
      <c r="V87" s="187">
        <f aca="true" t="shared" si="35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v>55843.51</v>
      </c>
      <c r="F88" s="181">
        <v>938.06</v>
      </c>
      <c r="G88" s="162">
        <f t="shared" si="32"/>
        <v>-54905.450000000004</v>
      </c>
      <c r="H88" s="380">
        <f>F88/E88</f>
        <v>0.016798012875623325</v>
      </c>
      <c r="I88" s="167">
        <f>F88-D88</f>
        <v>-73520.68000000001</v>
      </c>
      <c r="J88" s="209">
        <f>F88/D88</f>
        <v>0.012598386703830872</v>
      </c>
      <c r="K88" s="167"/>
      <c r="L88" s="167"/>
      <c r="M88" s="167"/>
      <c r="N88" s="167">
        <v>4618.99</v>
      </c>
      <c r="O88" s="167">
        <f t="shared" si="33"/>
        <v>69839.75</v>
      </c>
      <c r="P88" s="209">
        <f t="shared" si="34"/>
        <v>16.12013448827558</v>
      </c>
      <c r="Q88" s="167">
        <v>2260.63</v>
      </c>
      <c r="R88" s="167">
        <f t="shared" si="30"/>
        <v>-1322.5700000000002</v>
      </c>
      <c r="S88" s="209">
        <f t="shared" si="31"/>
        <v>0.4149551231293931</v>
      </c>
      <c r="T88" s="157">
        <f>E88-жовтень!E76</f>
        <v>-2805.5999999999985</v>
      </c>
      <c r="U88" s="160">
        <f>F88-жовтень!F76</f>
        <v>0.029999999999972715</v>
      </c>
      <c r="V88" s="167">
        <f t="shared" si="35"/>
        <v>2805.6299999999983</v>
      </c>
      <c r="W88" s="209">
        <f>U88/T88</f>
        <v>-1.0692899914447081E-05</v>
      </c>
      <c r="X88" s="363">
        <f t="shared" si="18"/>
        <v>-15.705179365146185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v>33630</v>
      </c>
      <c r="F89" s="181">
        <v>7824.49</v>
      </c>
      <c r="G89" s="162">
        <f t="shared" si="32"/>
        <v>-25805.510000000002</v>
      </c>
      <c r="H89" s="380">
        <f>F89/E89</f>
        <v>0.23266399048468628</v>
      </c>
      <c r="I89" s="167">
        <f aca="true" t="shared" si="36" ref="I89:I98">F89-D89</f>
        <v>-46175.51</v>
      </c>
      <c r="J89" s="209">
        <f>F89/D89</f>
        <v>0.14489796296296295</v>
      </c>
      <c r="K89" s="167"/>
      <c r="L89" s="167"/>
      <c r="M89" s="167"/>
      <c r="N89" s="167">
        <v>10435.77</v>
      </c>
      <c r="O89" s="167">
        <f t="shared" si="33"/>
        <v>43564.229999999996</v>
      </c>
      <c r="P89" s="209">
        <f t="shared" si="34"/>
        <v>5.174510361956999</v>
      </c>
      <c r="Q89" s="167">
        <v>7293.63</v>
      </c>
      <c r="R89" s="167">
        <f t="shared" si="30"/>
        <v>530.8599999999997</v>
      </c>
      <c r="S89" s="209">
        <f t="shared" si="31"/>
        <v>1.0727840595149465</v>
      </c>
      <c r="T89" s="157">
        <f>E89-жовтень!E77</f>
        <v>3600</v>
      </c>
      <c r="U89" s="160">
        <f>F89-жовтень!F77</f>
        <v>241.28999999999996</v>
      </c>
      <c r="V89" s="167">
        <f t="shared" si="35"/>
        <v>-3358.71</v>
      </c>
      <c r="W89" s="209">
        <f>U89/T89</f>
        <v>0.06702499999999999</v>
      </c>
      <c r="X89" s="363">
        <f t="shared" si="18"/>
        <v>-4.101726302442053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v>55300</v>
      </c>
      <c r="F90" s="181">
        <v>15694.71</v>
      </c>
      <c r="G90" s="162">
        <f t="shared" si="32"/>
        <v>-39605.29</v>
      </c>
      <c r="H90" s="380">
        <f>F90/E90</f>
        <v>0.28381030741410485</v>
      </c>
      <c r="I90" s="167">
        <f t="shared" si="36"/>
        <v>-63305.29</v>
      </c>
      <c r="J90" s="209">
        <f>F90/D90</f>
        <v>0.1986672151898734</v>
      </c>
      <c r="K90" s="167"/>
      <c r="L90" s="167"/>
      <c r="M90" s="167"/>
      <c r="N90" s="167">
        <v>12593.19</v>
      </c>
      <c r="O90" s="167">
        <f t="shared" si="33"/>
        <v>66406.81</v>
      </c>
      <c r="P90" s="209">
        <f t="shared" si="34"/>
        <v>6.273231802267733</v>
      </c>
      <c r="Q90" s="167">
        <v>12375.13</v>
      </c>
      <c r="R90" s="167">
        <f t="shared" si="30"/>
        <v>3319.58</v>
      </c>
      <c r="S90" s="209">
        <f t="shared" si="31"/>
        <v>1.2682460709503658</v>
      </c>
      <c r="T90" s="157">
        <f>E90-жовтень!E78</f>
        <v>23700</v>
      </c>
      <c r="U90" s="160">
        <f>F90-жовтень!F78</f>
        <v>805.3999999999996</v>
      </c>
      <c r="V90" s="167">
        <f t="shared" si="35"/>
        <v>-22894.6</v>
      </c>
      <c r="W90" s="209">
        <f>U90/T90</f>
        <v>0.033983122362869184</v>
      </c>
      <c r="X90" s="363">
        <f t="shared" si="18"/>
        <v>-5.004985731317367</v>
      </c>
    </row>
    <row r="91" spans="2:24" ht="18">
      <c r="B91" s="23" t="s">
        <v>101</v>
      </c>
      <c r="C91" s="73">
        <v>24110700</v>
      </c>
      <c r="D91" s="180">
        <v>12</v>
      </c>
      <c r="E91" s="180">
        <v>11</v>
      </c>
      <c r="F91" s="181">
        <v>13</v>
      </c>
      <c r="G91" s="162">
        <f t="shared" si="32"/>
        <v>2</v>
      </c>
      <c r="H91" s="380">
        <f>F91/E91</f>
        <v>1.1818181818181819</v>
      </c>
      <c r="I91" s="167">
        <f t="shared" si="36"/>
        <v>1</v>
      </c>
      <c r="J91" s="209">
        <f>F91/D91</f>
        <v>1.0833333333333333</v>
      </c>
      <c r="K91" s="167"/>
      <c r="L91" s="167"/>
      <c r="M91" s="167"/>
      <c r="N91" s="167">
        <v>13</v>
      </c>
      <c r="O91" s="167">
        <f t="shared" si="33"/>
        <v>-1</v>
      </c>
      <c r="P91" s="209">
        <f t="shared" si="34"/>
        <v>0.9230769230769231</v>
      </c>
      <c r="Q91" s="167">
        <v>12</v>
      </c>
      <c r="R91" s="167">
        <f t="shared" si="30"/>
        <v>1</v>
      </c>
      <c r="S91" s="209">
        <f t="shared" si="31"/>
        <v>1.0833333333333333</v>
      </c>
      <c r="T91" s="157">
        <f>E91-жовтень!E79</f>
        <v>1</v>
      </c>
      <c r="U91" s="160">
        <f>F91-жовтень!F79</f>
        <v>1</v>
      </c>
      <c r="V91" s="167">
        <f t="shared" si="35"/>
        <v>0</v>
      </c>
      <c r="W91" s="209">
        <f>U91/T91</f>
        <v>1</v>
      </c>
      <c r="X91" s="363">
        <f t="shared" si="18"/>
        <v>0.16025641025641013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144784.51</v>
      </c>
      <c r="F92" s="184">
        <f>F88+F89+F90+F91</f>
        <v>24470.26</v>
      </c>
      <c r="G92" s="185">
        <f t="shared" si="32"/>
        <v>-120314.25000000001</v>
      </c>
      <c r="H92" s="383">
        <f>F92/E92</f>
        <v>0.16901158832529803</v>
      </c>
      <c r="I92" s="187">
        <f t="shared" si="36"/>
        <v>-183000.47999999998</v>
      </c>
      <c r="J92" s="214">
        <f>F92/D92</f>
        <v>0.11794559560543333</v>
      </c>
      <c r="K92" s="187"/>
      <c r="L92" s="187"/>
      <c r="M92" s="187"/>
      <c r="N92" s="187">
        <v>27660.95</v>
      </c>
      <c r="O92" s="187">
        <f t="shared" si="33"/>
        <v>179809.78999999998</v>
      </c>
      <c r="P92" s="214">
        <f t="shared" si="34"/>
        <v>7.500492210137395</v>
      </c>
      <c r="Q92" s="187">
        <v>21941.39</v>
      </c>
      <c r="R92" s="167">
        <f t="shared" si="30"/>
        <v>2528.869999999999</v>
      </c>
      <c r="S92" s="209">
        <f t="shared" si="31"/>
        <v>1.1152556879942428</v>
      </c>
      <c r="T92" s="185">
        <f>T88+T89+T90+T91</f>
        <v>24495.4</v>
      </c>
      <c r="U92" s="189">
        <f>U88+U89+U90+U91</f>
        <v>1047.7199999999996</v>
      </c>
      <c r="V92" s="187">
        <f t="shared" si="35"/>
        <v>-23447.68</v>
      </c>
      <c r="W92" s="214">
        <f>U92/T92</f>
        <v>0.042772112314965235</v>
      </c>
      <c r="X92" s="363">
        <f t="shared" si="18"/>
        <v>-6.385236522143153</v>
      </c>
    </row>
    <row r="93" spans="2:24" ht="46.5">
      <c r="B93" s="12" t="s">
        <v>40</v>
      </c>
      <c r="C93" s="75">
        <v>24062100</v>
      </c>
      <c r="D93" s="180">
        <v>40</v>
      </c>
      <c r="E93" s="180">
        <v>34</v>
      </c>
      <c r="F93" s="181">
        <v>49.17</v>
      </c>
      <c r="G93" s="162">
        <f t="shared" si="32"/>
        <v>15.170000000000002</v>
      </c>
      <c r="H93" s="380"/>
      <c r="I93" s="167">
        <f t="shared" si="36"/>
        <v>9.170000000000002</v>
      </c>
      <c r="J93" s="209"/>
      <c r="K93" s="167"/>
      <c r="L93" s="167"/>
      <c r="M93" s="167"/>
      <c r="N93" s="167">
        <v>69.99</v>
      </c>
      <c r="O93" s="167">
        <f t="shared" si="33"/>
        <v>-29.989999999999995</v>
      </c>
      <c r="P93" s="209">
        <f t="shared" si="34"/>
        <v>0.5715102157451065</v>
      </c>
      <c r="Q93" s="167">
        <v>53.94</v>
      </c>
      <c r="R93" s="167">
        <f t="shared" si="30"/>
        <v>-4.769999999999996</v>
      </c>
      <c r="S93" s="209">
        <f t="shared" si="31"/>
        <v>0.9115684093437153</v>
      </c>
      <c r="T93" s="157">
        <f>E93-жовтень!E81</f>
        <v>15</v>
      </c>
      <c r="U93" s="160">
        <f>F93-жовтень!F81</f>
        <v>11.030000000000001</v>
      </c>
      <c r="V93" s="167">
        <f t="shared" si="35"/>
        <v>-3.969999999999999</v>
      </c>
      <c r="W93" s="209"/>
      <c r="X93" s="363">
        <f t="shared" si="18"/>
        <v>0.3400581935986088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v>0</v>
      </c>
      <c r="F94" s="181">
        <v>0</v>
      </c>
      <c r="G94" s="162">
        <f t="shared" si="32"/>
        <v>0</v>
      </c>
      <c r="H94" s="380"/>
      <c r="I94" s="167">
        <f t="shared" si="36"/>
        <v>0</v>
      </c>
      <c r="J94" s="391"/>
      <c r="K94" s="190"/>
      <c r="L94" s="190"/>
      <c r="M94" s="190"/>
      <c r="N94" s="190"/>
      <c r="O94" s="167">
        <f t="shared" si="33"/>
        <v>0</v>
      </c>
      <c r="P94" s="209" t="e">
        <f t="shared" si="34"/>
        <v>#DIV/0!</v>
      </c>
      <c r="Q94" s="167">
        <v>0</v>
      </c>
      <c r="R94" s="167">
        <f t="shared" si="30"/>
        <v>0</v>
      </c>
      <c r="S94" s="209" t="e">
        <f t="shared" si="31"/>
        <v>#DIV/0!</v>
      </c>
      <c r="T94" s="157">
        <f>E94-жовтень!E82</f>
        <v>0</v>
      </c>
      <c r="U94" s="160">
        <f>F94-жовтень!F82</f>
        <v>0</v>
      </c>
      <c r="V94" s="167">
        <f t="shared" si="35"/>
        <v>0</v>
      </c>
      <c r="W94" s="391"/>
      <c r="X94" s="363" t="e">
        <f t="shared" si="18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v>8359.5</v>
      </c>
      <c r="F95" s="181">
        <v>8032.9</v>
      </c>
      <c r="G95" s="162">
        <f t="shared" si="32"/>
        <v>-326.60000000000036</v>
      </c>
      <c r="H95" s="380">
        <f>F95/E95</f>
        <v>0.9609306776721095</v>
      </c>
      <c r="I95" s="167">
        <f t="shared" si="36"/>
        <v>-327.10000000000036</v>
      </c>
      <c r="J95" s="209">
        <f>F95/D95</f>
        <v>0.9608732057416267</v>
      </c>
      <c r="K95" s="167"/>
      <c r="L95" s="167"/>
      <c r="M95" s="167"/>
      <c r="N95" s="167">
        <v>8352.68</v>
      </c>
      <c r="O95" s="167">
        <f t="shared" si="33"/>
        <v>7.319999999999709</v>
      </c>
      <c r="P95" s="209">
        <f t="shared" si="34"/>
        <v>1.0008763654300177</v>
      </c>
      <c r="Q95" s="167">
        <v>8350.66</v>
      </c>
      <c r="R95" s="167">
        <f t="shared" si="30"/>
        <v>-317.7600000000002</v>
      </c>
      <c r="S95" s="209">
        <f t="shared" si="31"/>
        <v>0.9619479178891249</v>
      </c>
      <c r="T95" s="157">
        <f>E95-жовтень!E83</f>
        <v>1959.5</v>
      </c>
      <c r="U95" s="160">
        <f>F95-жовтень!F83</f>
        <v>1239.9699999999993</v>
      </c>
      <c r="V95" s="167">
        <f t="shared" si="35"/>
        <v>-719.5300000000007</v>
      </c>
      <c r="W95" s="209">
        <f>U95/T95</f>
        <v>0.6327991834651694</v>
      </c>
      <c r="X95" s="363">
        <f t="shared" si="18"/>
        <v>-0.03892844754089275</v>
      </c>
    </row>
    <row r="96" spans="2:24" ht="31.5">
      <c r="B96" s="23" t="s">
        <v>50</v>
      </c>
      <c r="C96" s="73">
        <v>19050000</v>
      </c>
      <c r="D96" s="180">
        <v>0</v>
      </c>
      <c r="E96" s="180"/>
      <c r="F96" s="181">
        <v>0.1</v>
      </c>
      <c r="G96" s="162">
        <f t="shared" si="32"/>
        <v>0.1</v>
      </c>
      <c r="H96" s="380"/>
      <c r="I96" s="167">
        <f t="shared" si="36"/>
        <v>0.1</v>
      </c>
      <c r="J96" s="209"/>
      <c r="K96" s="167"/>
      <c r="L96" s="167"/>
      <c r="M96" s="167"/>
      <c r="N96" s="167">
        <v>1.48</v>
      </c>
      <c r="O96" s="167">
        <f t="shared" si="33"/>
        <v>-1.48</v>
      </c>
      <c r="P96" s="209">
        <f t="shared" si="34"/>
        <v>0</v>
      </c>
      <c r="Q96" s="167">
        <v>1.48</v>
      </c>
      <c r="R96" s="167">
        <f t="shared" si="30"/>
        <v>-1.38</v>
      </c>
      <c r="S96" s="209">
        <f t="shared" si="31"/>
        <v>0.06756756756756757</v>
      </c>
      <c r="T96" s="157">
        <f>E96-жовтень!E84</f>
        <v>0</v>
      </c>
      <c r="U96" s="160">
        <f>F96-жовтень!F84</f>
        <v>0.020000000000000004</v>
      </c>
      <c r="V96" s="167">
        <f t="shared" si="35"/>
        <v>0.020000000000000004</v>
      </c>
      <c r="W96" s="391"/>
      <c r="X96" s="363">
        <f t="shared" si="18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8393.5</v>
      </c>
      <c r="F97" s="184">
        <f>F93+F96+F94+F95</f>
        <v>8082.17</v>
      </c>
      <c r="G97" s="185">
        <f t="shared" si="32"/>
        <v>-311.3299999999999</v>
      </c>
      <c r="H97" s="383">
        <f>F97/E97</f>
        <v>0.9629082027759576</v>
      </c>
      <c r="I97" s="187">
        <f t="shared" si="36"/>
        <v>-317.8299999999999</v>
      </c>
      <c r="J97" s="214">
        <f>F97/D97</f>
        <v>0.9621630952380953</v>
      </c>
      <c r="K97" s="187"/>
      <c r="L97" s="187"/>
      <c r="M97" s="187"/>
      <c r="N97" s="187">
        <v>8424.15</v>
      </c>
      <c r="O97" s="187">
        <f t="shared" si="33"/>
        <v>-24.149999999999636</v>
      </c>
      <c r="P97" s="214">
        <f t="shared" si="34"/>
        <v>0.9971332419294529</v>
      </c>
      <c r="Q97" s="187">
        <v>8406.08</v>
      </c>
      <c r="R97" s="167">
        <f t="shared" si="30"/>
        <v>-323.90999999999985</v>
      </c>
      <c r="S97" s="209">
        <f t="shared" si="31"/>
        <v>0.9614671761391754</v>
      </c>
      <c r="T97" s="185">
        <f>T93+T96+T94+T95</f>
        <v>1974.5</v>
      </c>
      <c r="U97" s="189">
        <f>U93+U96+U94+U95</f>
        <v>1251.0199999999993</v>
      </c>
      <c r="V97" s="187">
        <f t="shared" si="35"/>
        <v>-723.4800000000007</v>
      </c>
      <c r="W97" s="214">
        <f>U97/T97</f>
        <v>0.6335882501899212</v>
      </c>
      <c r="X97" s="363">
        <f t="shared" si="18"/>
        <v>-0.035666065790277424</v>
      </c>
    </row>
    <row r="98" spans="2:24" ht="30.75">
      <c r="B98" s="12" t="s">
        <v>41</v>
      </c>
      <c r="C98" s="43">
        <v>24110900</v>
      </c>
      <c r="D98" s="180">
        <v>38</v>
      </c>
      <c r="E98" s="180">
        <v>38</v>
      </c>
      <c r="F98" s="181">
        <v>27.25</v>
      </c>
      <c r="G98" s="162">
        <f t="shared" si="32"/>
        <v>-10.75</v>
      </c>
      <c r="H98" s="380">
        <f>F98/E98</f>
        <v>0.7171052631578947</v>
      </c>
      <c r="I98" s="167">
        <f t="shared" si="36"/>
        <v>-10.75</v>
      </c>
      <c r="J98" s="209">
        <f>F98/D98</f>
        <v>0.7171052631578947</v>
      </c>
      <c r="K98" s="167"/>
      <c r="L98" s="167"/>
      <c r="M98" s="167"/>
      <c r="N98" s="167">
        <v>35.33</v>
      </c>
      <c r="O98" s="167">
        <f t="shared" si="33"/>
        <v>2.6700000000000017</v>
      </c>
      <c r="P98" s="209">
        <f t="shared" si="34"/>
        <v>1.075573167279932</v>
      </c>
      <c r="Q98" s="187">
        <v>27.79</v>
      </c>
      <c r="R98" s="167">
        <f t="shared" si="30"/>
        <v>-0.5399999999999991</v>
      </c>
      <c r="S98" s="209">
        <f t="shared" si="31"/>
        <v>0.9805685498380713</v>
      </c>
      <c r="T98" s="157">
        <f>E98-жовтень!E86</f>
        <v>2.700000000000003</v>
      </c>
      <c r="U98" s="160">
        <f>F98-жовтень!F86</f>
        <v>0</v>
      </c>
      <c r="V98" s="167">
        <f t="shared" si="35"/>
        <v>-2.700000000000003</v>
      </c>
      <c r="W98" s="209">
        <f>U98/T98</f>
        <v>0</v>
      </c>
      <c r="X98" s="363">
        <f t="shared" si="18"/>
        <v>-0.09500461744186073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31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18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153216.01</v>
      </c>
      <c r="F100" s="308">
        <f>F86+F87+F92+F97+F98</f>
        <v>32612.619999999995</v>
      </c>
      <c r="G100" s="309">
        <f>F100-E100</f>
        <v>-120603.39000000001</v>
      </c>
      <c r="H100" s="384">
        <f>F100/E100</f>
        <v>0.21285386559798805</v>
      </c>
      <c r="I100" s="301">
        <f>F100-D100</f>
        <v>-183296.12</v>
      </c>
      <c r="J100" s="302">
        <f>F100/D100</f>
        <v>0.1510481697035516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v>30365.08</v>
      </c>
      <c r="R100" s="301">
        <f>F100-Q100</f>
        <v>2247.5399999999936</v>
      </c>
      <c r="S100" s="302">
        <f t="shared" si="31"/>
        <v>1.0740172592991684</v>
      </c>
      <c r="T100" s="308">
        <f>T86+T87+T92+T97+T98</f>
        <v>26472.600000000002</v>
      </c>
      <c r="U100" s="308">
        <f>U86+U87+U92+U97+U98</f>
        <v>2298.739999999999</v>
      </c>
      <c r="V100" s="301">
        <f>U100-T100</f>
        <v>-24173.860000000004</v>
      </c>
      <c r="W100" s="302">
        <f>U100/T100</f>
        <v>0.08683468945249045</v>
      </c>
      <c r="X100" s="363">
        <f aca="true" t="shared" si="37" ref="X100:X161">S100-P100</f>
        <v>-4.9051365820616635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1397973.31</v>
      </c>
      <c r="F101" s="308">
        <f>F79+F100</f>
        <v>1266911.7599999998</v>
      </c>
      <c r="G101" s="309">
        <f>F101-E101</f>
        <v>-131061.55000000028</v>
      </c>
      <c r="H101" s="384">
        <f>F101/E101</f>
        <v>0.9062488896873143</v>
      </c>
      <c r="I101" s="301">
        <f>F101-D101</f>
        <v>-306488.0800000003</v>
      </c>
      <c r="J101" s="302">
        <f>F101/D101</f>
        <v>0.8052064883901346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982066.09</v>
      </c>
      <c r="R101" s="301">
        <f>R79+R100</f>
        <v>284845.66999999987</v>
      </c>
      <c r="S101" s="302">
        <f t="shared" si="31"/>
        <v>1.2900473531267125</v>
      </c>
      <c r="T101" s="309">
        <f>T79+T100</f>
        <v>156458.6</v>
      </c>
      <c r="U101" s="309">
        <f>U79+U100</f>
        <v>104553.73</v>
      </c>
      <c r="V101" s="301">
        <f>U101-T101</f>
        <v>-51904.87000000001</v>
      </c>
      <c r="W101" s="302">
        <f>U101/T101</f>
        <v>0.6682517292114335</v>
      </c>
      <c r="X101" s="363">
        <f t="shared" si="37"/>
        <v>-0.1538629568160914</v>
      </c>
    </row>
    <row r="102" spans="2:24" ht="15">
      <c r="B102" s="20" t="s">
        <v>34</v>
      </c>
      <c r="U102" s="25"/>
      <c r="X102" s="363">
        <f t="shared" si="37"/>
        <v>0</v>
      </c>
    </row>
    <row r="103" spans="2:24" ht="15">
      <c r="B103" s="4" t="s">
        <v>36</v>
      </c>
      <c r="C103" s="76">
        <v>4</v>
      </c>
      <c r="D103" s="4" t="s">
        <v>35</v>
      </c>
      <c r="U103" s="78"/>
      <c r="X103" s="363">
        <f t="shared" si="37"/>
        <v>0</v>
      </c>
    </row>
    <row r="104" spans="2:24" ht="30.75">
      <c r="B104" s="52" t="s">
        <v>53</v>
      </c>
      <c r="C104" s="29">
        <f>IF(V79&lt;0,ABS(V79/C103),0)</f>
        <v>6932.752500000002</v>
      </c>
      <c r="D104" s="4" t="s">
        <v>24</v>
      </c>
      <c r="G104" s="424"/>
      <c r="H104" s="424"/>
      <c r="I104" s="424"/>
      <c r="J104" s="424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>
        <f t="shared" si="37"/>
        <v>0</v>
      </c>
    </row>
    <row r="105" spans="2:24" ht="34.5" customHeight="1">
      <c r="B105" s="53" t="s">
        <v>55</v>
      </c>
      <c r="C105" s="81">
        <v>43063</v>
      </c>
      <c r="D105" s="29">
        <v>2825.97</v>
      </c>
      <c r="G105" s="4" t="s">
        <v>58</v>
      </c>
      <c r="U105" s="430"/>
      <c r="V105" s="430"/>
      <c r="X105" s="363">
        <f t="shared" si="37"/>
        <v>0</v>
      </c>
    </row>
    <row r="106" spans="3:24" ht="15">
      <c r="C106" s="81">
        <v>43062</v>
      </c>
      <c r="D106" s="29">
        <v>3798.5</v>
      </c>
      <c r="G106" s="427"/>
      <c r="H106" s="427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30"/>
      <c r="V106" s="430"/>
      <c r="X106" s="363">
        <f t="shared" si="37"/>
        <v>0</v>
      </c>
    </row>
    <row r="107" spans="3:24" ht="15.75" customHeight="1">
      <c r="C107" s="81">
        <v>43061</v>
      </c>
      <c r="D107" s="29">
        <v>4800.3</v>
      </c>
      <c r="G107" s="427"/>
      <c r="H107" s="427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30"/>
      <c r="V107" s="430"/>
      <c r="X107" s="363">
        <f t="shared" si="37"/>
        <v>0</v>
      </c>
    </row>
    <row r="108" spans="3:24" ht="15.75" customHeight="1">
      <c r="C108" s="81"/>
      <c r="F108" s="68"/>
      <c r="G108" s="421"/>
      <c r="H108" s="421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>
        <f t="shared" si="37"/>
        <v>0</v>
      </c>
    </row>
    <row r="109" spans="2:24" ht="18" customHeight="1">
      <c r="B109" s="425" t="s">
        <v>56</v>
      </c>
      <c r="C109" s="426"/>
      <c r="D109" s="133">
        <v>23.67879</v>
      </c>
      <c r="E109" s="69"/>
      <c r="F109" s="125" t="s">
        <v>107</v>
      </c>
      <c r="G109" s="427"/>
      <c r="H109" s="427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>
        <f t="shared" si="37"/>
        <v>0</v>
      </c>
    </row>
    <row r="110" spans="6:24" ht="9.75" customHeight="1">
      <c r="F110" s="68"/>
      <c r="G110" s="427"/>
      <c r="H110" s="427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>
        <f t="shared" si="37"/>
        <v>0</v>
      </c>
    </row>
    <row r="111" spans="2:24" ht="22.5" customHeight="1" hidden="1">
      <c r="B111" s="428" t="s">
        <v>59</v>
      </c>
      <c r="C111" s="429"/>
      <c r="D111" s="80">
        <v>0</v>
      </c>
      <c r="E111" s="51" t="s">
        <v>24</v>
      </c>
      <c r="F111" s="68"/>
      <c r="G111" s="427"/>
      <c r="H111" s="427"/>
      <c r="I111" s="68"/>
      <c r="J111" s="69"/>
      <c r="K111" s="69"/>
      <c r="L111" s="69"/>
      <c r="M111" s="69"/>
      <c r="N111" s="69"/>
      <c r="O111" s="69"/>
      <c r="P111" s="345"/>
      <c r="Q111" s="69"/>
      <c r="R111" s="69"/>
      <c r="S111" s="69"/>
      <c r="X111" s="363">
        <f t="shared" si="37"/>
        <v>0</v>
      </c>
    </row>
    <row r="112" spans="2:24" ht="15" hidden="1">
      <c r="B112" s="285" t="s">
        <v>195</v>
      </c>
      <c r="D112" s="68">
        <f>D60+D63+D64</f>
        <v>1530</v>
      </c>
      <c r="E112" s="68">
        <f>E60+E63+E64</f>
        <v>1484</v>
      </c>
      <c r="F112" s="203">
        <f>F60+F63+F64</f>
        <v>1706.6</v>
      </c>
      <c r="G112" s="68">
        <f>G60+G63+G64</f>
        <v>222.5999999999999</v>
      </c>
      <c r="H112" s="69"/>
      <c r="I112" s="69"/>
      <c r="T112" s="29">
        <f>T60+T63+T64</f>
        <v>506</v>
      </c>
      <c r="U112" s="202">
        <f>U60+U63+U64</f>
        <v>136.81999999999982</v>
      </c>
      <c r="V112" s="29">
        <f>V60+V63+V64</f>
        <v>-369.1800000000002</v>
      </c>
      <c r="X112" s="363">
        <f t="shared" si="37"/>
        <v>0</v>
      </c>
    </row>
    <row r="113" spans="4:24" ht="15" hidden="1">
      <c r="D113" s="78"/>
      <c r="I113" s="29"/>
      <c r="U113" s="420"/>
      <c r="V113" s="420"/>
      <c r="X113" s="363">
        <f t="shared" si="37"/>
        <v>0</v>
      </c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1183174.9000000001</v>
      </c>
      <c r="F114" s="229">
        <f>F9+F15+F18+F19+F23+F54+F57+F77+F71</f>
        <v>1174819.2599999998</v>
      </c>
      <c r="G114" s="29">
        <f>F114-E114</f>
        <v>-8355.640000000363</v>
      </c>
      <c r="H114" s="230">
        <f>F114/E114</f>
        <v>0.9929379502557057</v>
      </c>
      <c r="I114" s="29">
        <f>F114-D114</f>
        <v>-119972.34000000032</v>
      </c>
      <c r="J114" s="230">
        <f>F114/D114</f>
        <v>0.9073423553257526</v>
      </c>
      <c r="K114" s="230"/>
      <c r="L114" s="230"/>
      <c r="M114" s="230"/>
      <c r="N114" s="230"/>
      <c r="O114" s="230"/>
      <c r="T114" s="29">
        <f>T9+T15+T17+T18+T19+T23+T54+T57+T77+T71</f>
        <v>118135.2</v>
      </c>
      <c r="U114" s="229">
        <f>U9+U15+U17+U18+U19+U23+U54+U57+U77+U71</f>
        <v>97273.02999999998</v>
      </c>
      <c r="V114" s="29">
        <f>U114-T114</f>
        <v>-20862.170000000013</v>
      </c>
      <c r="W114" s="230">
        <f>U114/T114</f>
        <v>0.8234042859367909</v>
      </c>
      <c r="X114" s="363">
        <f t="shared" si="37"/>
        <v>0</v>
      </c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61559.4</v>
      </c>
      <c r="F115" s="229">
        <f>F55+F56+F58+F60+F62+F63+F64+F65+F66+F72+F76+F59+F78</f>
        <v>59456.01000000001</v>
      </c>
      <c r="G115" s="29">
        <f>G55+G56+G58+G60+G62+G63+G64+G65+G66+G72+G76+G59</f>
        <v>-2098.3899999999985</v>
      </c>
      <c r="H115" s="230">
        <f>F115/E115</f>
        <v>0.9658315383190871</v>
      </c>
      <c r="I115" s="29">
        <f>I55+I56+I58+I60+I62+I63+I64+I65+I66+I72+I76+I59</f>
        <v>-3215.4899999999993</v>
      </c>
      <c r="J115" s="230">
        <f>F115/D115</f>
        <v>0.9486172648440805</v>
      </c>
      <c r="K115" s="230"/>
      <c r="L115" s="230"/>
      <c r="M115" s="230"/>
      <c r="N115" s="230"/>
      <c r="O115" s="230"/>
      <c r="Q115" s="29">
        <f>Q55+Q56+Q58+Q60+Q62+Q63+Q64+Q65+Q66+Q72+Q76+Q59</f>
        <v>60534.17000000001</v>
      </c>
      <c r="R115" s="29">
        <f>R55+R56+R58+R60+R62+R63+R64+R65+R66+R72+R76+R59</f>
        <v>-1073.1599999999985</v>
      </c>
      <c r="S115" s="29">
        <f>S55+S56+S58+S60+S62+S63+S64+S65+S66+S72+S76+S59</f>
        <v>19.748582042706893</v>
      </c>
      <c r="T115" s="29">
        <f>T55+T56+T58+T60+T62+T63+T64+T65+T66+T72+T76+T59+T78</f>
        <v>11827.8</v>
      </c>
      <c r="U115" s="229">
        <f>U55+U56+U58+U60+U62+U63+U64+U65+U66+U72+U76+U59+U78</f>
        <v>4981.960000000001</v>
      </c>
      <c r="V115" s="29">
        <f>V55+V56+V58+V60+V62+V63+V64+V65+V66+V72+V76+V59</f>
        <v>-6845.869999999997</v>
      </c>
      <c r="W115" s="230">
        <f>U115/T115</f>
        <v>0.421207663301713</v>
      </c>
      <c r="X115" s="363">
        <f t="shared" si="37"/>
        <v>19.748582042706893</v>
      </c>
    </row>
    <row r="116" spans="2:24" ht="15" hidden="1">
      <c r="B116" s="4" t="s">
        <v>121</v>
      </c>
      <c r="D116" s="29">
        <f>SUM(D114:D115)</f>
        <v>1357468.1</v>
      </c>
      <c r="E116" s="29" t="e">
        <f>#N/A</f>
        <v>#N/A</v>
      </c>
      <c r="F116" s="229" t="e">
        <f>#N/A</f>
        <v>#N/A</v>
      </c>
      <c r="G116" s="29" t="e">
        <f>#N/A</f>
        <v>#N/A</v>
      </c>
      <c r="H116" s="230" t="e">
        <f>F116/E116</f>
        <v>#N/A</v>
      </c>
      <c r="I116" s="29" t="e">
        <f>#N/A</f>
        <v>#N/A</v>
      </c>
      <c r="J116" s="230" t="e">
        <f>F116/D116</f>
        <v>#N/A</v>
      </c>
      <c r="K116" s="230"/>
      <c r="L116" s="230"/>
      <c r="M116" s="230"/>
      <c r="N116" s="230"/>
      <c r="O116" s="230"/>
      <c r="Q116" s="29" t="e">
        <f>#N/A</f>
        <v>#N/A</v>
      </c>
      <c r="R116" s="29" t="e">
        <f>#N/A</f>
        <v>#N/A</v>
      </c>
      <c r="S116" s="29" t="e">
        <f>#N/A</f>
        <v>#N/A</v>
      </c>
      <c r="T116" s="29" t="e">
        <f>#N/A</f>
        <v>#N/A</v>
      </c>
      <c r="U116" s="229" t="e">
        <f>#N/A</f>
        <v>#N/A</v>
      </c>
      <c r="V116" s="29" t="e">
        <f>#N/A</f>
        <v>#N/A</v>
      </c>
      <c r="W116" s="230" t="e">
        <f>U116/T116</f>
        <v>#N/A</v>
      </c>
      <c r="X116" s="363" t="e">
        <f t="shared" si="37"/>
        <v>#N/A</v>
      </c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29" t="e">
        <f>Q79-Q116</f>
        <v>#N/A</v>
      </c>
      <c r="R117" s="29" t="e">
        <f>#N/A</f>
        <v>#N/A</v>
      </c>
      <c r="S117" s="29" t="e">
        <f>#N/A</f>
        <v>#N/A</v>
      </c>
      <c r="T117" s="29" t="e">
        <f>#N/A</f>
        <v>#N/A</v>
      </c>
      <c r="U117" s="29" t="e">
        <f>#N/A</f>
        <v>#N/A</v>
      </c>
      <c r="V117" s="29" t="e">
        <f>#N/A</f>
        <v>#N/A</v>
      </c>
      <c r="W117" s="29"/>
      <c r="X117" s="363" t="e">
        <f t="shared" si="37"/>
        <v>#N/A</v>
      </c>
    </row>
    <row r="118" spans="5:24" ht="15" hidden="1">
      <c r="E118" s="4" t="s">
        <v>58</v>
      </c>
      <c r="X118" s="363">
        <f t="shared" si="37"/>
        <v>0</v>
      </c>
    </row>
    <row r="119" spans="2:24" ht="15" hidden="1">
      <c r="B119" s="245" t="s">
        <v>165</v>
      </c>
      <c r="E119" s="29">
        <f>E79-E9-E20-E35-E47</f>
        <v>139284.30000000005</v>
      </c>
      <c r="X119" s="363">
        <f t="shared" si="37"/>
        <v>0</v>
      </c>
    </row>
    <row r="120" spans="2:24" ht="15" hidden="1">
      <c r="B120" s="245" t="s">
        <v>166</v>
      </c>
      <c r="E120" s="29">
        <f>E100-E95-E88-E89</f>
        <v>55383</v>
      </c>
      <c r="X120" s="363">
        <f t="shared" si="37"/>
        <v>0</v>
      </c>
    </row>
    <row r="121" ht="15" hidden="1">
      <c r="X121" s="363">
        <f t="shared" si="37"/>
        <v>0</v>
      </c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>
        <f t="shared" si="37"/>
        <v>0</v>
      </c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171318.07</v>
      </c>
      <c r="F123" s="191">
        <f>F100+F122</f>
        <v>52866.939999999995</v>
      </c>
      <c r="G123" s="192">
        <f>F123-E123</f>
        <v>-118451.13</v>
      </c>
      <c r="H123" s="193">
        <f>F123/E123*100</f>
        <v>30.858939748737534</v>
      </c>
      <c r="I123" s="194">
        <f>F123-D123</f>
        <v>-235450.01999999996</v>
      </c>
      <c r="J123" s="194">
        <f>F123/D123*100</f>
        <v>18.33639616621929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49827.06999999999</v>
      </c>
      <c r="S123" s="269">
        <f>F123/Q123</f>
        <v>17.39118449144207</v>
      </c>
      <c r="T123" s="272"/>
      <c r="U123" s="272"/>
      <c r="V123" s="273"/>
      <c r="W123" s="273"/>
      <c r="X123" s="363">
        <f t="shared" si="37"/>
        <v>17.39118449144207</v>
      </c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1416075.37</v>
      </c>
      <c r="F124" s="191">
        <f>F123+F79</f>
        <v>1287166.0799999998</v>
      </c>
      <c r="G124" s="192">
        <f>F124-E124</f>
        <v>-128909.29000000027</v>
      </c>
      <c r="H124" s="193">
        <f>F124/E124*100</f>
        <v>90.89672112579711</v>
      </c>
      <c r="I124" s="194">
        <f>F124-D124</f>
        <v>-358641.9800000002</v>
      </c>
      <c r="J124" s="194">
        <f>F124/D124*100</f>
        <v>78.20876026090185</v>
      </c>
      <c r="K124" s="194"/>
      <c r="L124" s="194"/>
      <c r="M124" s="194"/>
      <c r="N124" s="194"/>
      <c r="O124" s="194"/>
      <c r="P124" s="221"/>
      <c r="Q124" s="194">
        <f>Q101+Q123</f>
        <v>985105.96</v>
      </c>
      <c r="R124" s="194">
        <f>F124-Q124</f>
        <v>302060.1199999999</v>
      </c>
      <c r="S124" s="269">
        <f>F124/Q124</f>
        <v>1.3066270353292755</v>
      </c>
      <c r="T124" s="274"/>
      <c r="U124" s="274"/>
      <c r="V124" s="273"/>
      <c r="W124" s="273"/>
      <c r="X124" s="363">
        <f t="shared" si="37"/>
        <v>1.3066270353292755</v>
      </c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>
        <f t="shared" si="37"/>
        <v>0</v>
      </c>
    </row>
    <row r="126" spans="2:24" ht="15" customHeight="1" hidden="1">
      <c r="B126" s="240" t="s">
        <v>154</v>
      </c>
      <c r="C126" s="239">
        <v>41000000</v>
      </c>
      <c r="D126" s="244" t="e">
        <f>#N/A</f>
        <v>#N/A</v>
      </c>
      <c r="E126" s="244" t="e">
        <f>#N/A</f>
        <v>#N/A</v>
      </c>
      <c r="F126" s="244" t="e">
        <f>#N/A</f>
        <v>#N/A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>
        <f t="shared" si="37"/>
        <v>0</v>
      </c>
    </row>
    <row r="127" spans="2:24" ht="15" hidden="1">
      <c r="B127" s="240" t="s">
        <v>155</v>
      </c>
      <c r="C127" s="239">
        <v>41030000</v>
      </c>
      <c r="D127" s="244">
        <f>SUM(D128:D135)</f>
        <v>1222868.6900000002</v>
      </c>
      <c r="E127" s="244">
        <f>SUM(E128:E135)</f>
        <v>550655.6</v>
      </c>
      <c r="F127" s="244">
        <f>SUM(F128:F135)</f>
        <v>545829.08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>
        <f t="shared" si="37"/>
        <v>0</v>
      </c>
    </row>
    <row r="128" spans="2:24" ht="63.75" hidden="1">
      <c r="B128" s="240" t="s">
        <v>177</v>
      </c>
      <c r="C128" s="239">
        <v>41030600</v>
      </c>
      <c r="D128" s="244">
        <v>311813.4</v>
      </c>
      <c r="E128" s="244">
        <v>74842.5</v>
      </c>
      <c r="F128" s="244">
        <v>71108.47</v>
      </c>
      <c r="G128" s="244" t="e">
        <f>#N/A</f>
        <v>#N/A</v>
      </c>
      <c r="H128" s="244" t="e">
        <f>#N/A</f>
        <v>#N/A</v>
      </c>
      <c r="I128" s="36" t="e">
        <f>#N/A</f>
        <v>#N/A</v>
      </c>
      <c r="J128" s="36" t="e">
        <f>#N/A</f>
        <v>#N/A</v>
      </c>
      <c r="K128" s="313"/>
      <c r="L128" s="313"/>
      <c r="M128" s="313"/>
      <c r="N128" s="313"/>
      <c r="O128" s="313"/>
      <c r="P128" s="346"/>
      <c r="W128" s="89"/>
      <c r="X128" s="363">
        <f t="shared" si="37"/>
        <v>0</v>
      </c>
    </row>
    <row r="129" spans="2:24" ht="63.75" hidden="1">
      <c r="B129" s="240" t="s">
        <v>159</v>
      </c>
      <c r="C129" s="239">
        <v>41030800</v>
      </c>
      <c r="D129" s="244">
        <v>408648.2</v>
      </c>
      <c r="E129" s="244">
        <v>354918.91</v>
      </c>
      <c r="F129" s="244">
        <v>354211.24</v>
      </c>
      <c r="G129" s="244" t="e">
        <f>#N/A</f>
        <v>#N/A</v>
      </c>
      <c r="H129" s="244" t="e">
        <f>#N/A</f>
        <v>#N/A</v>
      </c>
      <c r="I129" s="36" t="e">
        <f>#N/A</f>
        <v>#N/A</v>
      </c>
      <c r="J129" s="36" t="e">
        <f>#N/A</f>
        <v>#N/A</v>
      </c>
      <c r="K129" s="313"/>
      <c r="L129" s="313"/>
      <c r="M129" s="313"/>
      <c r="N129" s="313"/>
      <c r="O129" s="313"/>
      <c r="P129" s="346"/>
      <c r="W129" s="89"/>
      <c r="X129" s="363">
        <f t="shared" si="37"/>
        <v>0</v>
      </c>
    </row>
    <row r="130" spans="2:24" ht="51.75" hidden="1">
      <c r="B130" s="240" t="s">
        <v>178</v>
      </c>
      <c r="C130" s="239">
        <v>41031000</v>
      </c>
      <c r="D130" s="244">
        <v>227.7</v>
      </c>
      <c r="E130" s="244">
        <v>57</v>
      </c>
      <c r="F130" s="244">
        <v>40.84</v>
      </c>
      <c r="G130" s="244" t="e">
        <f>#N/A</f>
        <v>#N/A</v>
      </c>
      <c r="H130" s="244" t="e">
        <f>#N/A</f>
        <v>#N/A</v>
      </c>
      <c r="I130" s="36" t="e">
        <f>#N/A</f>
        <v>#N/A</v>
      </c>
      <c r="J130" s="36" t="e">
        <f>#N/A</f>
        <v>#N/A</v>
      </c>
      <c r="K130" s="313"/>
      <c r="L130" s="313"/>
      <c r="M130" s="313"/>
      <c r="N130" s="313"/>
      <c r="O130" s="313"/>
      <c r="P130" s="346"/>
      <c r="W130" s="89"/>
      <c r="X130" s="363">
        <f t="shared" si="37"/>
        <v>0</v>
      </c>
    </row>
    <row r="131" spans="2:24" ht="26.25" hidden="1">
      <c r="B131" s="240" t="s">
        <v>160</v>
      </c>
      <c r="C131" s="239">
        <v>41033900</v>
      </c>
      <c r="D131" s="244">
        <v>243334.5</v>
      </c>
      <c r="E131" s="244">
        <v>56191.6</v>
      </c>
      <c r="F131" s="244">
        <v>56191.6</v>
      </c>
      <c r="G131" s="244" t="e">
        <f>#N/A</f>
        <v>#N/A</v>
      </c>
      <c r="H131" s="244" t="e">
        <f>#N/A</f>
        <v>#N/A</v>
      </c>
      <c r="I131" s="36" t="e">
        <f>#N/A</f>
        <v>#N/A</v>
      </c>
      <c r="J131" s="36" t="e">
        <f>#N/A</f>
        <v>#N/A</v>
      </c>
      <c r="K131" s="313"/>
      <c r="L131" s="313"/>
      <c r="M131" s="313"/>
      <c r="N131" s="313"/>
      <c r="O131" s="313"/>
      <c r="P131" s="346"/>
      <c r="W131" s="89"/>
      <c r="X131" s="363">
        <f t="shared" si="37"/>
        <v>0</v>
      </c>
    </row>
    <row r="132" spans="2:24" ht="26.25" hidden="1">
      <c r="B132" s="240" t="s">
        <v>161</v>
      </c>
      <c r="C132" s="239">
        <v>41034200</v>
      </c>
      <c r="D132" s="244">
        <v>238249.5</v>
      </c>
      <c r="E132" s="244">
        <v>59541.9</v>
      </c>
      <c r="F132" s="244">
        <v>59541.9</v>
      </c>
      <c r="G132" s="244" t="e">
        <f>#N/A</f>
        <v>#N/A</v>
      </c>
      <c r="H132" s="244" t="e">
        <f>#N/A</f>
        <v>#N/A</v>
      </c>
      <c r="I132" s="36" t="e">
        <f>#N/A</f>
        <v>#N/A</v>
      </c>
      <c r="J132" s="36" t="e">
        <f>#N/A</f>
        <v>#N/A</v>
      </c>
      <c r="K132" s="313"/>
      <c r="L132" s="313"/>
      <c r="M132" s="313"/>
      <c r="N132" s="313"/>
      <c r="O132" s="313"/>
      <c r="P132" s="346"/>
      <c r="W132" s="89"/>
      <c r="X132" s="363">
        <f t="shared" si="37"/>
        <v>0</v>
      </c>
    </row>
    <row r="133" spans="2:24" ht="15" hidden="1">
      <c r="B133" s="240" t="s">
        <v>156</v>
      </c>
      <c r="C133" s="239">
        <v>41035000</v>
      </c>
      <c r="D133" s="244">
        <v>16239.09</v>
      </c>
      <c r="E133" s="244">
        <v>4193.79</v>
      </c>
      <c r="F133" s="244">
        <v>3733.65</v>
      </c>
      <c r="G133" s="244" t="e">
        <f>#N/A</f>
        <v>#N/A</v>
      </c>
      <c r="H133" s="244" t="e">
        <f>#N/A</f>
        <v>#N/A</v>
      </c>
      <c r="I133" s="36" t="e">
        <f>#N/A</f>
        <v>#N/A</v>
      </c>
      <c r="J133" s="36" t="e">
        <f>#N/A</f>
        <v>#N/A</v>
      </c>
      <c r="K133" s="313"/>
      <c r="L133" s="313"/>
      <c r="M133" s="313"/>
      <c r="N133" s="313"/>
      <c r="O133" s="313"/>
      <c r="P133" s="346"/>
      <c r="W133" s="89"/>
      <c r="X133" s="363">
        <f t="shared" si="37"/>
        <v>0</v>
      </c>
    </row>
    <row r="134" spans="2:24" ht="39" hidden="1">
      <c r="B134" s="240" t="s">
        <v>180</v>
      </c>
      <c r="C134" s="239">
        <v>41035400</v>
      </c>
      <c r="D134" s="244">
        <v>0</v>
      </c>
      <c r="E134" s="244">
        <v>0</v>
      </c>
      <c r="F134" s="244">
        <v>165.7</v>
      </c>
      <c r="G134" s="244" t="e">
        <f>#N/A</f>
        <v>#N/A</v>
      </c>
      <c r="H134" s="244" t="e">
        <f>#N/A</f>
        <v>#N/A</v>
      </c>
      <c r="I134" s="36" t="e">
        <f>#N/A</f>
        <v>#N/A</v>
      </c>
      <c r="J134" s="36" t="e">
        <f>#N/A</f>
        <v>#N/A</v>
      </c>
      <c r="K134" s="313"/>
      <c r="L134" s="313"/>
      <c r="M134" s="313"/>
      <c r="N134" s="313"/>
      <c r="O134" s="313"/>
      <c r="P134" s="346"/>
      <c r="W134" s="89"/>
      <c r="X134" s="363">
        <f t="shared" si="37"/>
        <v>0</v>
      </c>
    </row>
    <row r="135" spans="2:24" ht="63.75" hidden="1">
      <c r="B135" s="240" t="s">
        <v>179</v>
      </c>
      <c r="C135" s="239">
        <v>41035800</v>
      </c>
      <c r="D135" s="244">
        <v>4356.3</v>
      </c>
      <c r="E135" s="244">
        <v>909.9</v>
      </c>
      <c r="F135" s="244">
        <v>835.68</v>
      </c>
      <c r="G135" s="244" t="e">
        <f>#N/A</f>
        <v>#N/A</v>
      </c>
      <c r="H135" s="244" t="e">
        <f>#N/A</f>
        <v>#N/A</v>
      </c>
      <c r="I135" s="36" t="e">
        <f>#N/A</f>
        <v>#N/A</v>
      </c>
      <c r="J135" s="36" t="e">
        <f>#N/A</f>
        <v>#N/A</v>
      </c>
      <c r="K135" s="313"/>
      <c r="L135" s="313"/>
      <c r="M135" s="313"/>
      <c r="N135" s="313"/>
      <c r="O135" s="313"/>
      <c r="P135" s="346"/>
      <c r="W135" s="89"/>
      <c r="X135" s="363">
        <f t="shared" si="37"/>
        <v>0</v>
      </c>
    </row>
    <row r="136" spans="2:24" s="242" customFormat="1" ht="25.5" customHeight="1" hidden="1">
      <c r="B136" s="275" t="s">
        <v>158</v>
      </c>
      <c r="C136" s="276"/>
      <c r="D136" s="277" t="e">
        <f>D124+D125</f>
        <v>#N/A</v>
      </c>
      <c r="E136" s="277" t="e">
        <f>E124+E125</f>
        <v>#N/A</v>
      </c>
      <c r="F136" s="277" t="e">
        <f>F124+F125</f>
        <v>#N/A</v>
      </c>
      <c r="G136" s="278" t="e">
        <f>#N/A</f>
        <v>#N/A</v>
      </c>
      <c r="H136" s="277" t="e">
        <f>#N/A</f>
        <v>#N/A</v>
      </c>
      <c r="I136" s="279" t="e">
        <f>#N/A</f>
        <v>#N/A</v>
      </c>
      <c r="J136" s="279" t="e">
        <f>#N/A</f>
        <v>#N/A</v>
      </c>
      <c r="K136" s="314"/>
      <c r="L136" s="314"/>
      <c r="M136" s="314"/>
      <c r="N136" s="314"/>
      <c r="O136" s="314"/>
      <c r="P136" s="347"/>
      <c r="W136" s="243"/>
      <c r="X136" s="363">
        <f t="shared" si="37"/>
        <v>0</v>
      </c>
    </row>
    <row r="137" ht="15" hidden="1">
      <c r="X137" s="363">
        <f t="shared" si="37"/>
        <v>0</v>
      </c>
    </row>
    <row r="138" ht="15" hidden="1">
      <c r="X138" s="363">
        <f t="shared" si="37"/>
        <v>0</v>
      </c>
    </row>
    <row r="139" ht="15" hidden="1">
      <c r="X139" s="363">
        <f t="shared" si="37"/>
        <v>0</v>
      </c>
    </row>
    <row r="140" ht="15" hidden="1">
      <c r="X140" s="363">
        <f t="shared" si="37"/>
        <v>0</v>
      </c>
    </row>
    <row r="141" ht="15" hidden="1">
      <c r="X141" s="363">
        <f t="shared" si="37"/>
        <v>0</v>
      </c>
    </row>
    <row r="142" ht="15" hidden="1">
      <c r="X142" s="363">
        <f t="shared" si="37"/>
        <v>0</v>
      </c>
    </row>
    <row r="143" spans="2:24" ht="15" hidden="1">
      <c r="B143" s="360" t="s">
        <v>254</v>
      </c>
      <c r="X143" s="363">
        <f t="shared" si="37"/>
        <v>0</v>
      </c>
    </row>
    <row r="144" spans="1:24" s="6" customFormat="1" ht="30.75" customHeight="1" hidden="1">
      <c r="A144" s="8"/>
      <c r="B144" s="351" t="s">
        <v>116</v>
      </c>
      <c r="C144" s="120">
        <v>13010200</v>
      </c>
      <c r="D144" s="162">
        <v>0</v>
      </c>
      <c r="E144" s="162">
        <v>0</v>
      </c>
      <c r="F144" s="163">
        <v>0.49</v>
      </c>
      <c r="G144" s="150">
        <f aca="true" t="shared" si="38" ref="G144:G152">F144-E144</f>
        <v>0.49</v>
      </c>
      <c r="H144" s="157"/>
      <c r="I144" s="158">
        <f aca="true" t="shared" si="39" ref="I144:I152">F144-D144</f>
        <v>0.49</v>
      </c>
      <c r="J144" s="158"/>
      <c r="K144" s="158"/>
      <c r="L144" s="158"/>
      <c r="M144" s="158"/>
      <c r="N144" s="158">
        <v>0.17</v>
      </c>
      <c r="O144" s="158">
        <f aca="true" t="shared" si="40" ref="O144:O150">D144-N144</f>
        <v>-0.17</v>
      </c>
      <c r="P144" s="210">
        <f aca="true" t="shared" si="41" ref="P144:P150">D144/N144</f>
        <v>0</v>
      </c>
      <c r="Q144" s="167">
        <v>0.17</v>
      </c>
      <c r="R144" s="161">
        <f aca="true" t="shared" si="42" ref="R144:R152">F144-Q144</f>
        <v>0.31999999999999995</v>
      </c>
      <c r="S144" s="208">
        <f>F144/Q144</f>
        <v>2.88235294117647</v>
      </c>
      <c r="T144" s="157">
        <f>E144-серпень!E132</f>
        <v>0</v>
      </c>
      <c r="U144" s="160">
        <f>F144-серпень!F132</f>
        <v>0.49</v>
      </c>
      <c r="V144" s="161">
        <f aca="true" t="shared" si="43" ref="V144:V152">U144-T144</f>
        <v>0.49</v>
      </c>
      <c r="W144" s="158"/>
      <c r="X144" s="363">
        <f t="shared" si="37"/>
        <v>2.88235294117647</v>
      </c>
    </row>
    <row r="145" spans="1:24" s="6" customFormat="1" ht="30.75" hidden="1">
      <c r="A145" s="8"/>
      <c r="B145" s="352" t="s">
        <v>117</v>
      </c>
      <c r="C145" s="43" t="s">
        <v>58</v>
      </c>
      <c r="D145" s="150">
        <v>125</v>
      </c>
      <c r="E145" s="150">
        <v>90</v>
      </c>
      <c r="F145" s="156">
        <v>147.46</v>
      </c>
      <c r="G145" s="150">
        <f t="shared" si="38"/>
        <v>57.46000000000001</v>
      </c>
      <c r="H145" s="157">
        <f>F145/E145*100</f>
        <v>163.84444444444446</v>
      </c>
      <c r="I145" s="158">
        <f t="shared" si="39"/>
        <v>22.460000000000008</v>
      </c>
      <c r="J145" s="158">
        <f>F145/D145*100</f>
        <v>117.968</v>
      </c>
      <c r="K145" s="158"/>
      <c r="L145" s="158"/>
      <c r="M145" s="158"/>
      <c r="N145" s="158">
        <v>124.7</v>
      </c>
      <c r="O145" s="158">
        <f t="shared" si="40"/>
        <v>0.29999999999999716</v>
      </c>
      <c r="P145" s="210">
        <f t="shared" si="41"/>
        <v>1.0024057738572574</v>
      </c>
      <c r="Q145" s="161">
        <v>105.8</v>
      </c>
      <c r="R145" s="161">
        <f t="shared" si="42"/>
        <v>41.66000000000001</v>
      </c>
      <c r="S145" s="208">
        <f>F145/Q145</f>
        <v>1.3937618147448017</v>
      </c>
      <c r="T145" s="157">
        <f>E145-серпень!E133</f>
        <v>90</v>
      </c>
      <c r="U145" s="160">
        <f>F145-серпень!F133</f>
        <v>147.46</v>
      </c>
      <c r="V145" s="161">
        <f t="shared" si="43"/>
        <v>57.46000000000001</v>
      </c>
      <c r="W145" s="158">
        <f>U145/T145*100</f>
        <v>163.84444444444446</v>
      </c>
      <c r="X145" s="363">
        <f t="shared" si="37"/>
        <v>0.3913560408875443</v>
      </c>
    </row>
    <row r="146" spans="1:24" s="6" customFormat="1" ht="18" hidden="1">
      <c r="A146" s="8"/>
      <c r="B146" s="353" t="s">
        <v>61</v>
      </c>
      <c r="C146" s="42">
        <v>21080500</v>
      </c>
      <c r="D146" s="150">
        <v>40</v>
      </c>
      <c r="E146" s="150">
        <v>25</v>
      </c>
      <c r="F146" s="156">
        <v>128.3</v>
      </c>
      <c r="G146" s="150">
        <f t="shared" si="38"/>
        <v>103.30000000000001</v>
      </c>
      <c r="H146" s="164">
        <f>F146/E146*100</f>
        <v>513.2</v>
      </c>
      <c r="I146" s="165">
        <f t="shared" si="39"/>
        <v>88.30000000000001</v>
      </c>
      <c r="J146" s="165">
        <f>F146/D146*100</f>
        <v>320.75000000000006</v>
      </c>
      <c r="K146" s="165"/>
      <c r="L146" s="165"/>
      <c r="M146" s="165"/>
      <c r="N146" s="165">
        <v>31.98</v>
      </c>
      <c r="O146" s="165">
        <f t="shared" si="40"/>
        <v>8.02</v>
      </c>
      <c r="P146" s="218">
        <f t="shared" si="41"/>
        <v>1.2507817385866167</v>
      </c>
      <c r="Q146" s="165">
        <v>31.98</v>
      </c>
      <c r="R146" s="165">
        <f t="shared" si="42"/>
        <v>96.32000000000001</v>
      </c>
      <c r="S146" s="218">
        <f>F146/Q146</f>
        <v>4.011882426516573</v>
      </c>
      <c r="T146" s="157">
        <f>E146-серпень!E134</f>
        <v>25</v>
      </c>
      <c r="U146" s="160">
        <f>F146-серпень!F134</f>
        <v>128.3</v>
      </c>
      <c r="V146" s="161">
        <f t="shared" si="43"/>
        <v>103.30000000000001</v>
      </c>
      <c r="W146" s="165">
        <f>U146/T146</f>
        <v>5.132000000000001</v>
      </c>
      <c r="X146" s="363">
        <f t="shared" si="37"/>
        <v>2.7611006879299564</v>
      </c>
    </row>
    <row r="147" spans="1:24" s="6" customFormat="1" ht="31.5" hidden="1">
      <c r="A147" s="8"/>
      <c r="B147" s="354" t="s">
        <v>39</v>
      </c>
      <c r="C147" s="71">
        <v>21080900</v>
      </c>
      <c r="D147" s="150">
        <f>6.5-6.5</f>
        <v>0</v>
      </c>
      <c r="E147" s="150">
        <v>0</v>
      </c>
      <c r="F147" s="156">
        <v>12.95</v>
      </c>
      <c r="G147" s="150">
        <f t="shared" si="38"/>
        <v>12.95</v>
      </c>
      <c r="H147" s="164"/>
      <c r="I147" s="165">
        <f t="shared" si="39"/>
        <v>12.95</v>
      </c>
      <c r="J147" s="165"/>
      <c r="K147" s="165"/>
      <c r="L147" s="165"/>
      <c r="M147" s="165"/>
      <c r="N147" s="165">
        <v>0.1</v>
      </c>
      <c r="O147" s="165">
        <f t="shared" si="40"/>
        <v>-0.1</v>
      </c>
      <c r="P147" s="218">
        <f t="shared" si="41"/>
        <v>0</v>
      </c>
      <c r="Q147" s="165">
        <v>0.1</v>
      </c>
      <c r="R147" s="165">
        <f t="shared" si="42"/>
        <v>12.85</v>
      </c>
      <c r="S147" s="218"/>
      <c r="T147" s="157">
        <f>E147-серпень!E135</f>
        <v>0</v>
      </c>
      <c r="U147" s="160">
        <f>F147-серпень!F135</f>
        <v>12.95</v>
      </c>
      <c r="V147" s="161">
        <f t="shared" si="43"/>
        <v>12.95</v>
      </c>
      <c r="W147" s="165"/>
      <c r="X147" s="363">
        <f t="shared" si="37"/>
        <v>0</v>
      </c>
    </row>
    <row r="148" spans="1:24" s="6" customFormat="1" ht="18" hidden="1">
      <c r="A148" s="8"/>
      <c r="B148" s="352" t="s">
        <v>16</v>
      </c>
      <c r="C148" s="72">
        <v>21081100</v>
      </c>
      <c r="D148" s="150">
        <v>260</v>
      </c>
      <c r="E148" s="150">
        <v>194</v>
      </c>
      <c r="F148" s="156">
        <v>620.32</v>
      </c>
      <c r="G148" s="150">
        <f t="shared" si="38"/>
        <v>426.32000000000005</v>
      </c>
      <c r="H148" s="164">
        <f>F148/E148*100</f>
        <v>319.75257731958766</v>
      </c>
      <c r="I148" s="165">
        <f t="shared" si="39"/>
        <v>360.32000000000005</v>
      </c>
      <c r="J148" s="165">
        <f>F148/D148*100</f>
        <v>238.5846153846154</v>
      </c>
      <c r="K148" s="165"/>
      <c r="L148" s="165"/>
      <c r="M148" s="165"/>
      <c r="N148" s="165">
        <v>241.07</v>
      </c>
      <c r="O148" s="165">
        <f t="shared" si="40"/>
        <v>18.930000000000007</v>
      </c>
      <c r="P148" s="218">
        <f t="shared" si="41"/>
        <v>1.0785249097772431</v>
      </c>
      <c r="Q148" s="165">
        <v>197.12</v>
      </c>
      <c r="R148" s="165">
        <f t="shared" si="42"/>
        <v>423.20000000000005</v>
      </c>
      <c r="S148" s="218">
        <f aca="true" t="shared" si="44" ref="S148:S153">F148/Q148</f>
        <v>3.1469155844155847</v>
      </c>
      <c r="T148" s="157">
        <f>E148-серпень!E136</f>
        <v>194</v>
      </c>
      <c r="U148" s="160">
        <f>F148-серпень!F136</f>
        <v>620.32</v>
      </c>
      <c r="V148" s="161">
        <f t="shared" si="43"/>
        <v>426.32000000000005</v>
      </c>
      <c r="W148" s="165">
        <f>U148/T148</f>
        <v>3.1975257731958764</v>
      </c>
      <c r="X148" s="363">
        <f t="shared" si="37"/>
        <v>2.0683906746383416</v>
      </c>
    </row>
    <row r="149" spans="1:24" s="6" customFormat="1" ht="46.5" hidden="1">
      <c r="A149" s="8"/>
      <c r="B149" s="352" t="s">
        <v>80</v>
      </c>
      <c r="C149" s="72">
        <v>21081500</v>
      </c>
      <c r="D149" s="150">
        <v>97.5</v>
      </c>
      <c r="E149" s="150">
        <v>74.8</v>
      </c>
      <c r="F149" s="156">
        <v>78.43</v>
      </c>
      <c r="G149" s="150">
        <f t="shared" si="38"/>
        <v>3.6300000000000097</v>
      </c>
      <c r="H149" s="164">
        <f>F149/E149*100</f>
        <v>104.8529411764706</v>
      </c>
      <c r="I149" s="165">
        <f t="shared" si="39"/>
        <v>-19.069999999999993</v>
      </c>
      <c r="J149" s="165">
        <f>F149/D149*100</f>
        <v>80.44102564102565</v>
      </c>
      <c r="K149" s="165"/>
      <c r="L149" s="165"/>
      <c r="M149" s="165"/>
      <c r="N149" s="165">
        <v>86.37</v>
      </c>
      <c r="O149" s="165">
        <f t="shared" si="40"/>
        <v>11.129999999999995</v>
      </c>
      <c r="P149" s="218">
        <f t="shared" si="41"/>
        <v>1.1288641889544981</v>
      </c>
      <c r="Q149" s="165">
        <v>41.15</v>
      </c>
      <c r="R149" s="165">
        <f t="shared" si="42"/>
        <v>37.28000000000001</v>
      </c>
      <c r="S149" s="218">
        <f t="shared" si="44"/>
        <v>1.9059538274605106</v>
      </c>
      <c r="T149" s="157">
        <f>E149-серпень!E137</f>
        <v>74.8</v>
      </c>
      <c r="U149" s="160">
        <f>F149-серпень!F137</f>
        <v>78.43</v>
      </c>
      <c r="V149" s="161">
        <f t="shared" si="43"/>
        <v>3.6300000000000097</v>
      </c>
      <c r="W149" s="165">
        <f>U149/T149</f>
        <v>1.048529411764706</v>
      </c>
      <c r="X149" s="363">
        <f t="shared" si="37"/>
        <v>0.7770896385060124</v>
      </c>
    </row>
    <row r="150" spans="1:24" s="6" customFormat="1" ht="46.5" hidden="1">
      <c r="A150" s="8"/>
      <c r="B150" s="352" t="s">
        <v>17</v>
      </c>
      <c r="C150" s="11" t="s">
        <v>18</v>
      </c>
      <c r="D150" s="150">
        <v>2.5</v>
      </c>
      <c r="E150" s="150">
        <v>2.5</v>
      </c>
      <c r="F150" s="156">
        <v>2.04</v>
      </c>
      <c r="G150" s="150">
        <f t="shared" si="38"/>
        <v>-0.45999999999999996</v>
      </c>
      <c r="H150" s="164">
        <f>F150/E150*100</f>
        <v>81.60000000000001</v>
      </c>
      <c r="I150" s="165">
        <f t="shared" si="39"/>
        <v>-0.45999999999999996</v>
      </c>
      <c r="J150" s="165">
        <f>F150/D150*100</f>
        <v>81.60000000000001</v>
      </c>
      <c r="K150" s="165"/>
      <c r="L150" s="165"/>
      <c r="M150" s="165"/>
      <c r="N150" s="165">
        <v>2.46</v>
      </c>
      <c r="O150" s="165">
        <f t="shared" si="40"/>
        <v>0.040000000000000036</v>
      </c>
      <c r="P150" s="218">
        <f t="shared" si="41"/>
        <v>1.016260162601626</v>
      </c>
      <c r="Q150" s="165">
        <v>2.46</v>
      </c>
      <c r="R150" s="165">
        <f t="shared" si="42"/>
        <v>-0.41999999999999993</v>
      </c>
      <c r="S150" s="218">
        <f t="shared" si="44"/>
        <v>0.8292682926829269</v>
      </c>
      <c r="T150" s="157">
        <f>E150-серпень!E138</f>
        <v>2.5</v>
      </c>
      <c r="U150" s="160">
        <f>F150-серпень!F138</f>
        <v>2.04</v>
      </c>
      <c r="V150" s="161">
        <f t="shared" si="43"/>
        <v>-0.45999999999999996</v>
      </c>
      <c r="W150" s="165"/>
      <c r="X150" s="363">
        <f t="shared" si="37"/>
        <v>-0.1869918699186992</v>
      </c>
    </row>
    <row r="151" spans="1:24" s="6" customFormat="1" ht="18" hidden="1">
      <c r="A151" s="8"/>
      <c r="B151" s="358" t="s">
        <v>44</v>
      </c>
      <c r="C151" s="43">
        <v>31010200</v>
      </c>
      <c r="D151" s="150">
        <v>15</v>
      </c>
      <c r="E151" s="150">
        <v>11.3</v>
      </c>
      <c r="F151" s="156">
        <v>34.22</v>
      </c>
      <c r="G151" s="150">
        <f t="shared" si="38"/>
        <v>22.919999999999998</v>
      </c>
      <c r="H151" s="164">
        <f>F151/E151*100</f>
        <v>302.8318584070796</v>
      </c>
      <c r="I151" s="165">
        <f t="shared" si="39"/>
        <v>19.22</v>
      </c>
      <c r="J151" s="165">
        <f>F151/D151*100</f>
        <v>228.13333333333335</v>
      </c>
      <c r="K151" s="165"/>
      <c r="L151" s="165"/>
      <c r="M151" s="165"/>
      <c r="N151" s="165">
        <v>13.52</v>
      </c>
      <c r="O151" s="165">
        <f>D151-N151</f>
        <v>1.4800000000000004</v>
      </c>
      <c r="P151" s="218">
        <f>D151/N151</f>
        <v>1.1094674556213018</v>
      </c>
      <c r="Q151" s="165">
        <v>13.52</v>
      </c>
      <c r="R151" s="165">
        <f t="shared" si="42"/>
        <v>20.7</v>
      </c>
      <c r="S151" s="218">
        <f t="shared" si="44"/>
        <v>2.5310650887573964</v>
      </c>
      <c r="T151" s="157">
        <f>E151-серпень!E139</f>
        <v>11.3</v>
      </c>
      <c r="U151" s="160">
        <f>F151-серпень!F139</f>
        <v>34.22</v>
      </c>
      <c r="V151" s="161">
        <f t="shared" si="43"/>
        <v>22.919999999999998</v>
      </c>
      <c r="W151" s="165">
        <f>U151/T151</f>
        <v>3.0283185840707962</v>
      </c>
      <c r="X151" s="363">
        <f t="shared" si="37"/>
        <v>1.4215976331360947</v>
      </c>
    </row>
    <row r="152" spans="1:24" s="6" customFormat="1" ht="30.75" hidden="1">
      <c r="A152" s="8"/>
      <c r="B152" s="358" t="s">
        <v>57</v>
      </c>
      <c r="C152" s="43">
        <v>31020000</v>
      </c>
      <c r="D152" s="150">
        <v>0</v>
      </c>
      <c r="E152" s="150">
        <v>0</v>
      </c>
      <c r="F152" s="156">
        <v>-5.17</v>
      </c>
      <c r="G152" s="150">
        <f t="shared" si="38"/>
        <v>-5.17</v>
      </c>
      <c r="H152" s="164"/>
      <c r="I152" s="165">
        <f t="shared" si="39"/>
        <v>-5.17</v>
      </c>
      <c r="J152" s="165"/>
      <c r="K152" s="165"/>
      <c r="L152" s="165"/>
      <c r="M152" s="165"/>
      <c r="N152" s="165">
        <v>7.37</v>
      </c>
      <c r="O152" s="165">
        <f>D152-N152</f>
        <v>-7.37</v>
      </c>
      <c r="P152" s="218">
        <f>D152/N152</f>
        <v>0</v>
      </c>
      <c r="Q152" s="165">
        <v>1.02</v>
      </c>
      <c r="R152" s="165">
        <f t="shared" si="42"/>
        <v>-6.1899999999999995</v>
      </c>
      <c r="S152" s="218">
        <f t="shared" si="44"/>
        <v>-5.068627450980392</v>
      </c>
      <c r="T152" s="157">
        <f>E152-серпень!E140</f>
        <v>0</v>
      </c>
      <c r="U152" s="160">
        <f>F152-серпень!F140</f>
        <v>-5.17</v>
      </c>
      <c r="V152" s="161">
        <f t="shared" si="43"/>
        <v>-5.17</v>
      </c>
      <c r="W152" s="165"/>
      <c r="X152" s="363">
        <f t="shared" si="37"/>
        <v>-5.068627450980392</v>
      </c>
    </row>
    <row r="153" spans="4:24" ht="15" hidden="1">
      <c r="D153" s="29">
        <f>D144+D145+D146+D147+D148+D149+D150+D151+D152</f>
        <v>540</v>
      </c>
      <c r="E153" s="29">
        <f>E144+E145+E146+E147+E148+E149+E150+E151+E152</f>
        <v>397.6</v>
      </c>
      <c r="F153" s="29">
        <f>F144+F145+F146+F147+F148+F149+F150+F151+F152</f>
        <v>1019.0400000000001</v>
      </c>
      <c r="G153" s="29">
        <f>F153-E153</f>
        <v>621.44</v>
      </c>
      <c r="H153" s="29">
        <f>F153/E153*100</f>
        <v>256.29778672032194</v>
      </c>
      <c r="I153" s="29">
        <f>F153-D153</f>
        <v>479.0400000000001</v>
      </c>
      <c r="J153" s="25">
        <f>F153/D153*100</f>
        <v>188.7111111111111</v>
      </c>
      <c r="N153" s="29">
        <f>N144+N145+N146+N147+N148+N149+N150+N151+N152</f>
        <v>507.73999999999995</v>
      </c>
      <c r="O153" s="29">
        <f>D153-N153</f>
        <v>32.26000000000005</v>
      </c>
      <c r="P153" s="230">
        <f>D153/N153</f>
        <v>1.063536455666286</v>
      </c>
      <c r="Q153" s="29">
        <f>Q144+Q145+Q146+Q147+Q148+Q149+Q150+Q151+Q152</f>
        <v>393.3199999999999</v>
      </c>
      <c r="R153" s="29">
        <f>F153-Q153</f>
        <v>625.7200000000003</v>
      </c>
      <c r="S153" s="230">
        <f t="shared" si="44"/>
        <v>2.5908674870334596</v>
      </c>
      <c r="X153" s="363">
        <f t="shared" si="37"/>
        <v>1.5273310313671735</v>
      </c>
    </row>
    <row r="154" ht="15" hidden="1">
      <c r="X154" s="363"/>
    </row>
    <row r="155" spans="2:24" ht="15" hidden="1">
      <c r="B155" s="284" t="s">
        <v>255</v>
      </c>
      <c r="X155" s="363"/>
    </row>
    <row r="156" spans="1:24" s="6" customFormat="1" ht="30.75" hidden="1">
      <c r="A156" s="8"/>
      <c r="B156" s="350" t="s">
        <v>105</v>
      </c>
      <c r="C156" s="49">
        <v>22010300</v>
      </c>
      <c r="D156" s="150">
        <v>730</v>
      </c>
      <c r="E156" s="150">
        <v>640</v>
      </c>
      <c r="F156" s="156">
        <v>906.99</v>
      </c>
      <c r="G156" s="150">
        <f aca="true" t="shared" si="45" ref="G156:G161">F156-E156</f>
        <v>266.99</v>
      </c>
      <c r="H156" s="164">
        <f>F156/E156*100</f>
        <v>141.7171875</v>
      </c>
      <c r="I156" s="165">
        <f aca="true" t="shared" si="46" ref="I156:I161">F156-D156</f>
        <v>176.99</v>
      </c>
      <c r="J156" s="165">
        <f>F156/D156*100</f>
        <v>124.24520547945205</v>
      </c>
      <c r="K156" s="165"/>
      <c r="L156" s="165"/>
      <c r="M156" s="165"/>
      <c r="N156" s="165">
        <v>791.33</v>
      </c>
      <c r="O156" s="165">
        <f aca="true" t="shared" si="47" ref="O156:O161">D156-N156</f>
        <v>-61.33000000000004</v>
      </c>
      <c r="P156" s="218">
        <f aca="true" t="shared" si="48" ref="P156:P161">D156/N156</f>
        <v>0.9224975673865518</v>
      </c>
      <c r="Q156" s="165">
        <v>428.63</v>
      </c>
      <c r="R156" s="165">
        <f aca="true" t="shared" si="49" ref="R156:R161">F156-Q156</f>
        <v>478.36</v>
      </c>
      <c r="S156" s="218">
        <f>F156/Q156</f>
        <v>2.1160208104892333</v>
      </c>
      <c r="T156" s="157">
        <f>E156-серпень!E144</f>
        <v>640</v>
      </c>
      <c r="U156" s="160">
        <f>F156-серпень!F144</f>
        <v>906.99</v>
      </c>
      <c r="V156" s="161">
        <f>U156-T156</f>
        <v>266.99</v>
      </c>
      <c r="W156" s="165">
        <f>U156/T156</f>
        <v>1.417171875</v>
      </c>
      <c r="X156" s="363">
        <f t="shared" si="37"/>
        <v>1.1935232431026814</v>
      </c>
    </row>
    <row r="157" spans="1:24" s="6" customFormat="1" ht="18" hidden="1">
      <c r="A157" s="8"/>
      <c r="B157" s="350" t="s">
        <v>223</v>
      </c>
      <c r="C157" s="49">
        <v>22010200</v>
      </c>
      <c r="D157" s="150">
        <v>0</v>
      </c>
      <c r="E157" s="150">
        <v>0</v>
      </c>
      <c r="F157" s="156">
        <v>23.38</v>
      </c>
      <c r="G157" s="150">
        <f t="shared" si="45"/>
        <v>23.38</v>
      </c>
      <c r="H157" s="164"/>
      <c r="I157" s="165">
        <f t="shared" si="46"/>
        <v>23.38</v>
      </c>
      <c r="J157" s="165"/>
      <c r="K157" s="165"/>
      <c r="L157" s="165"/>
      <c r="M157" s="165"/>
      <c r="N157" s="165">
        <v>0</v>
      </c>
      <c r="O157" s="165">
        <f t="shared" si="47"/>
        <v>0</v>
      </c>
      <c r="P157" s="218" t="e">
        <f t="shared" si="48"/>
        <v>#DIV/0!</v>
      </c>
      <c r="Q157" s="165"/>
      <c r="R157" s="165">
        <f t="shared" si="49"/>
        <v>23.38</v>
      </c>
      <c r="S157" s="218"/>
      <c r="T157" s="157">
        <f>E157-серпень!E145</f>
        <v>0</v>
      </c>
      <c r="U157" s="160">
        <f>F157-серпень!F145</f>
        <v>23.38</v>
      </c>
      <c r="V157" s="161">
        <f>U157-T157</f>
        <v>23.38</v>
      </c>
      <c r="W157" s="165"/>
      <c r="X157" s="363" t="e">
        <f t="shared" si="37"/>
        <v>#DIV/0!</v>
      </c>
    </row>
    <row r="158" spans="1:24" s="6" customFormat="1" ht="18" hidden="1">
      <c r="A158" s="8"/>
      <c r="B158" s="356" t="s">
        <v>78</v>
      </c>
      <c r="C158" s="72">
        <v>22012500</v>
      </c>
      <c r="D158" s="150">
        <v>11000</v>
      </c>
      <c r="E158" s="150">
        <v>8940</v>
      </c>
      <c r="F158" s="156">
        <v>14765.24</v>
      </c>
      <c r="G158" s="150">
        <f t="shared" si="45"/>
        <v>5825.24</v>
      </c>
      <c r="H158" s="164">
        <f>F158/E158*100</f>
        <v>165.1592841163311</v>
      </c>
      <c r="I158" s="165">
        <f t="shared" si="46"/>
        <v>3765.24</v>
      </c>
      <c r="J158" s="165">
        <f>F158/D158*100</f>
        <v>134.22945454545453</v>
      </c>
      <c r="K158" s="165"/>
      <c r="L158" s="165"/>
      <c r="M158" s="165"/>
      <c r="N158" s="165">
        <v>11422.5</v>
      </c>
      <c r="O158" s="165">
        <f t="shared" si="47"/>
        <v>-422.5</v>
      </c>
      <c r="P158" s="218">
        <f t="shared" si="48"/>
        <v>0.9630115999124534</v>
      </c>
      <c r="Q158" s="165">
        <v>8067.74</v>
      </c>
      <c r="R158" s="165">
        <f t="shared" si="49"/>
        <v>6697.5</v>
      </c>
      <c r="S158" s="218">
        <f>F158/Q158</f>
        <v>1.8301581359835593</v>
      </c>
      <c r="T158" s="157">
        <f>E158-серпень!E146</f>
        <v>8940</v>
      </c>
      <c r="U158" s="160">
        <f>F158-серпень!F146</f>
        <v>14765.24</v>
      </c>
      <c r="V158" s="161">
        <f>U158-T158</f>
        <v>5825.24</v>
      </c>
      <c r="W158" s="165">
        <f>U158/T158</f>
        <v>1.651592841163311</v>
      </c>
      <c r="X158" s="363">
        <f t="shared" si="37"/>
        <v>0.8671465360711058</v>
      </c>
    </row>
    <row r="159" spans="1:24" s="6" customFormat="1" ht="31.5" hidden="1">
      <c r="A159" s="8"/>
      <c r="B159" s="356" t="s">
        <v>99</v>
      </c>
      <c r="C159" s="72">
        <v>22012600</v>
      </c>
      <c r="D159" s="150">
        <v>310</v>
      </c>
      <c r="E159" s="150">
        <v>235</v>
      </c>
      <c r="F159" s="156">
        <v>438.04</v>
      </c>
      <c r="G159" s="150">
        <f t="shared" si="45"/>
        <v>203.04000000000002</v>
      </c>
      <c r="H159" s="164">
        <f>F159/E159*100</f>
        <v>186.4</v>
      </c>
      <c r="I159" s="165">
        <f t="shared" si="46"/>
        <v>128.04000000000002</v>
      </c>
      <c r="J159" s="165">
        <f>F159/D159*100</f>
        <v>141.30322580645162</v>
      </c>
      <c r="K159" s="165"/>
      <c r="L159" s="165"/>
      <c r="M159" s="165"/>
      <c r="N159" s="165">
        <v>323.25</v>
      </c>
      <c r="O159" s="165">
        <f t="shared" si="47"/>
        <v>-13.25</v>
      </c>
      <c r="P159" s="218">
        <f t="shared" si="48"/>
        <v>0.9590100541376644</v>
      </c>
      <c r="Q159" s="165">
        <v>210.12</v>
      </c>
      <c r="R159" s="165">
        <f t="shared" si="49"/>
        <v>227.92000000000002</v>
      </c>
      <c r="S159" s="218">
        <f>F159/Q159</f>
        <v>2.084713497049305</v>
      </c>
      <c r="T159" s="157">
        <f>E159-серпень!E147</f>
        <v>235</v>
      </c>
      <c r="U159" s="160">
        <f>F159-серпень!F147</f>
        <v>438.04</v>
      </c>
      <c r="V159" s="161">
        <f>U159-T159</f>
        <v>203.04000000000002</v>
      </c>
      <c r="W159" s="165">
        <f>U159/T159</f>
        <v>1.864</v>
      </c>
      <c r="X159" s="363">
        <f t="shared" si="37"/>
        <v>1.1257034429116408</v>
      </c>
    </row>
    <row r="160" spans="1:24" s="6" customFormat="1" ht="31.5" hidden="1">
      <c r="A160" s="8"/>
      <c r="B160" s="356" t="s">
        <v>106</v>
      </c>
      <c r="C160" s="72">
        <v>22012900</v>
      </c>
      <c r="D160" s="150">
        <v>20</v>
      </c>
      <c r="E160" s="150">
        <v>17</v>
      </c>
      <c r="F160" s="156">
        <v>29.28</v>
      </c>
      <c r="G160" s="150">
        <f t="shared" si="45"/>
        <v>12.280000000000001</v>
      </c>
      <c r="H160" s="164">
        <f>F160/E160*100</f>
        <v>172.23529411764707</v>
      </c>
      <c r="I160" s="165">
        <f t="shared" si="46"/>
        <v>9.280000000000001</v>
      </c>
      <c r="J160" s="165">
        <f>F160/D160*100</f>
        <v>146.4</v>
      </c>
      <c r="K160" s="165"/>
      <c r="L160" s="165"/>
      <c r="M160" s="165"/>
      <c r="N160" s="165">
        <v>22.36</v>
      </c>
      <c r="O160" s="165">
        <f t="shared" si="47"/>
        <v>-2.3599999999999994</v>
      </c>
      <c r="P160" s="218">
        <f t="shared" si="48"/>
        <v>0.8944543828264758</v>
      </c>
      <c r="Q160" s="165">
        <v>16.68</v>
      </c>
      <c r="R160" s="165">
        <f t="shared" si="49"/>
        <v>12.600000000000001</v>
      </c>
      <c r="S160" s="218">
        <f>F160/Q160</f>
        <v>1.7553956834532376</v>
      </c>
      <c r="T160" s="157">
        <f>E160-серпень!E148</f>
        <v>17</v>
      </c>
      <c r="U160" s="160">
        <f>F160-серпень!F148</f>
        <v>29.28</v>
      </c>
      <c r="V160" s="161">
        <f>U160-T160</f>
        <v>12.280000000000001</v>
      </c>
      <c r="W160" s="165">
        <f>U160/T160</f>
        <v>1.7223529411764706</v>
      </c>
      <c r="X160" s="363">
        <f t="shared" si="37"/>
        <v>0.8609413006267618</v>
      </c>
    </row>
    <row r="161" spans="4:24" ht="15" hidden="1">
      <c r="D161" s="29">
        <f>D156+D157+D158+D159+D160</f>
        <v>12060</v>
      </c>
      <c r="E161" s="29">
        <f>E156+E157+E158+E159+E160</f>
        <v>9832</v>
      </c>
      <c r="F161" s="29">
        <f>F156+F157+F158+F159+F160</f>
        <v>16162.930000000002</v>
      </c>
      <c r="G161" s="29">
        <f t="shared" si="45"/>
        <v>6330.930000000002</v>
      </c>
      <c r="H161" s="230">
        <f>F161/E161</f>
        <v>1.6439106997558994</v>
      </c>
      <c r="I161" s="29">
        <f t="shared" si="46"/>
        <v>4102.930000000002</v>
      </c>
      <c r="J161" s="230">
        <f>F161/D161</f>
        <v>1.340209784411277</v>
      </c>
      <c r="N161" s="29">
        <f>N156+N157+N158+N159+N160</f>
        <v>12559.44</v>
      </c>
      <c r="O161" s="29">
        <f t="shared" si="47"/>
        <v>-499.4400000000005</v>
      </c>
      <c r="P161" s="230">
        <f t="shared" si="48"/>
        <v>0.9602338957787927</v>
      </c>
      <c r="Q161" s="29">
        <f>Q156+Q157+Q158+Q159+Q160</f>
        <v>8723.17</v>
      </c>
      <c r="R161" s="29">
        <f t="shared" si="49"/>
        <v>7439.760000000002</v>
      </c>
      <c r="S161" s="230">
        <f>F161/Q161</f>
        <v>1.8528734393574815</v>
      </c>
      <c r="X161" s="363">
        <f t="shared" si="37"/>
        <v>0.8926395435786888</v>
      </c>
    </row>
    <row r="162" ht="15" hidden="1">
      <c r="X162" s="363"/>
    </row>
    <row r="163" ht="15" hidden="1">
      <c r="X163" s="363"/>
    </row>
    <row r="164" spans="2:24" ht="15" hidden="1">
      <c r="B164" s="284" t="s">
        <v>256</v>
      </c>
      <c r="X164" s="363"/>
    </row>
    <row r="165" spans="1:24" s="6" customFormat="1" ht="15.75" customHeight="1" hidden="1">
      <c r="A165" s="8"/>
      <c r="B165" s="357" t="s">
        <v>13</v>
      </c>
      <c r="C165" s="11" t="s">
        <v>19</v>
      </c>
      <c r="D165" s="150">
        <v>7350</v>
      </c>
      <c r="E165" s="150">
        <v>6400</v>
      </c>
      <c r="F165" s="156">
        <v>6761.56</v>
      </c>
      <c r="G165" s="150">
        <f>F165-E165</f>
        <v>361.5600000000004</v>
      </c>
      <c r="H165" s="164">
        <f>F165/E165*100</f>
        <v>105.649375</v>
      </c>
      <c r="I165" s="165">
        <f>F165-D165</f>
        <v>-588.4399999999996</v>
      </c>
      <c r="J165" s="165">
        <f>F165/D165*100</f>
        <v>91.99401360544218</v>
      </c>
      <c r="K165" s="165"/>
      <c r="L165" s="165"/>
      <c r="M165" s="165"/>
      <c r="N165" s="165">
        <v>6525.16</v>
      </c>
      <c r="O165" s="165">
        <f>D165-N165</f>
        <v>824.8400000000001</v>
      </c>
      <c r="P165" s="218">
        <f>D165/N165</f>
        <v>1.1264091608481632</v>
      </c>
      <c r="Q165" s="165">
        <v>5154.13</v>
      </c>
      <c r="R165" s="165">
        <f>F165-Q165</f>
        <v>1607.4300000000003</v>
      </c>
      <c r="S165" s="218">
        <f>F165/Q165</f>
        <v>1.3118722267385572</v>
      </c>
      <c r="T165" s="157">
        <f>E165-серпень!E153</f>
        <v>6400</v>
      </c>
      <c r="U165" s="160">
        <f>F165-серпень!F153</f>
        <v>6761.56</v>
      </c>
      <c r="V165" s="161">
        <f>U165-T165</f>
        <v>361.5600000000004</v>
      </c>
      <c r="W165" s="165">
        <f>U165/T165</f>
        <v>1.05649375</v>
      </c>
      <c r="X165" s="363">
        <f>S165-P165</f>
        <v>0.18546306589039396</v>
      </c>
    </row>
    <row r="166" spans="1:24" s="6" customFormat="1" ht="44.25" customHeight="1" hidden="1">
      <c r="A166" s="8"/>
      <c r="B166" s="357" t="s">
        <v>43</v>
      </c>
      <c r="C166" s="43">
        <v>24061900</v>
      </c>
      <c r="D166" s="150">
        <v>160</v>
      </c>
      <c r="E166" s="150">
        <v>90</v>
      </c>
      <c r="F166" s="156">
        <v>60.14</v>
      </c>
      <c r="G166" s="150">
        <f>F166-E166</f>
        <v>-29.86</v>
      </c>
      <c r="H166" s="164">
        <f>F166/E166*100</f>
        <v>66.82222222222222</v>
      </c>
      <c r="I166" s="165">
        <f>F166-D166</f>
        <v>-99.86</v>
      </c>
      <c r="J166" s="165">
        <f>F166/D166*100</f>
        <v>37.5875</v>
      </c>
      <c r="K166" s="165"/>
      <c r="L166" s="165"/>
      <c r="M166" s="165"/>
      <c r="N166" s="165">
        <v>226.72</v>
      </c>
      <c r="O166" s="165">
        <f>D166-N166</f>
        <v>-66.72</v>
      </c>
      <c r="P166" s="218">
        <f>D166/N166</f>
        <v>0.7057163020465773</v>
      </c>
      <c r="Q166" s="165">
        <v>158.93</v>
      </c>
      <c r="R166" s="165">
        <f>F166-Q166</f>
        <v>-98.79</v>
      </c>
      <c r="S166" s="218">
        <f>F166/Q166</f>
        <v>0.37840558736550683</v>
      </c>
      <c r="T166" s="157">
        <f>E166-серпень!E154</f>
        <v>90</v>
      </c>
      <c r="U166" s="160">
        <f>F166-серпень!F154</f>
        <v>60.14</v>
      </c>
      <c r="V166" s="161">
        <f>U166-T166</f>
        <v>-29.86</v>
      </c>
      <c r="W166" s="165">
        <f>U166/T166</f>
        <v>0.6682222222222223</v>
      </c>
      <c r="X166" s="363">
        <f>S166-P166</f>
        <v>-0.3273107146810705</v>
      </c>
    </row>
    <row r="167" spans="4:24" ht="15" hidden="1">
      <c r="D167" s="29">
        <f>D165+D166</f>
        <v>7510</v>
      </c>
      <c r="E167" s="29">
        <f>E165+E166</f>
        <v>6490</v>
      </c>
      <c r="F167" s="29">
        <f>F165+F166</f>
        <v>6821.700000000001</v>
      </c>
      <c r="G167" s="25">
        <f>F167-E167</f>
        <v>331.7000000000007</v>
      </c>
      <c r="H167" s="230">
        <f>F167/E167</f>
        <v>1.051109399075501</v>
      </c>
      <c r="I167" s="29">
        <f>F167-D167</f>
        <v>-688.2999999999993</v>
      </c>
      <c r="J167" s="230">
        <f>F167/D167</f>
        <v>0.9083488681757658</v>
      </c>
      <c r="N167" s="29">
        <f>N165+N166</f>
        <v>6751.88</v>
      </c>
      <c r="O167" s="29">
        <f>D167-N167</f>
        <v>758.1199999999999</v>
      </c>
      <c r="P167" s="230">
        <f>D167/N167</f>
        <v>1.112282801234619</v>
      </c>
      <c r="Q167" s="29">
        <f>Q165+Q166</f>
        <v>5313.06</v>
      </c>
      <c r="R167" s="29">
        <f>F167-Q167</f>
        <v>1508.6400000000003</v>
      </c>
      <c r="S167" s="230">
        <f>F167/Q167</f>
        <v>1.2839493625142573</v>
      </c>
      <c r="X167" s="363">
        <f>S167-P167</f>
        <v>0.1716665612796382</v>
      </c>
    </row>
    <row r="168" ht="15" hidden="1"/>
  </sheetData>
  <sheetProtection/>
  <mergeCells count="34">
    <mergeCell ref="B109:C109"/>
    <mergeCell ref="G109:H109"/>
    <mergeCell ref="G110:H110"/>
    <mergeCell ref="B111:C111"/>
    <mergeCell ref="G111:H111"/>
    <mergeCell ref="U105:V105"/>
    <mergeCell ref="G106:H106"/>
    <mergeCell ref="U106:V106"/>
    <mergeCell ref="G107:H107"/>
    <mergeCell ref="U107:V107"/>
    <mergeCell ref="U113:V113"/>
    <mergeCell ref="G108:H108"/>
    <mergeCell ref="F4:F5"/>
    <mergeCell ref="G4:G5"/>
    <mergeCell ref="H4:H5"/>
    <mergeCell ref="I4:I5"/>
    <mergeCell ref="J4:J5"/>
    <mergeCell ref="G104:J104"/>
    <mergeCell ref="U3:W3"/>
    <mergeCell ref="V4:V5"/>
    <mergeCell ref="W4:W5"/>
    <mergeCell ref="K5:M5"/>
    <mergeCell ref="N5:P5"/>
    <mergeCell ref="Q5:S5"/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</mergeCells>
  <printOptions/>
  <pageMargins left="0.31496062992125984" right="0.11811023622047245" top="0.15748031496062992" bottom="0.15748031496062992" header="0" footer="0"/>
  <pageSetup fitToHeight="1" fitToWidth="1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8" sqref="C18:D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96" t="s">
        <v>151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7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144</v>
      </c>
      <c r="O3" s="409" t="s">
        <v>148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149</v>
      </c>
      <c r="F4" s="422" t="s">
        <v>33</v>
      </c>
      <c r="G4" s="410" t="s">
        <v>145</v>
      </c>
      <c r="H4" s="407" t="s">
        <v>146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152</v>
      </c>
      <c r="P4" s="410" t="s">
        <v>49</v>
      </c>
      <c r="Q4" s="412" t="s">
        <v>48</v>
      </c>
      <c r="R4" s="91" t="s">
        <v>64</v>
      </c>
      <c r="S4" s="92" t="s">
        <v>63</v>
      </c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147</v>
      </c>
      <c r="L5" s="414"/>
      <c r="M5" s="415"/>
      <c r="N5" s="408"/>
      <c r="O5" s="395"/>
      <c r="P5" s="411"/>
      <c r="Q5" s="412"/>
      <c r="R5" s="413" t="s">
        <v>102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24"/>
      <c r="H89" s="424"/>
      <c r="I89" s="424"/>
      <c r="J89" s="42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30"/>
      <c r="P90" s="430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27"/>
      <c r="H91" s="427"/>
      <c r="I91" s="118"/>
      <c r="J91" s="436"/>
      <c r="K91" s="436"/>
      <c r="L91" s="436"/>
      <c r="M91" s="436"/>
      <c r="N91" s="436"/>
      <c r="O91" s="430"/>
      <c r="P91" s="430"/>
    </row>
    <row r="92" spans="3:16" ht="15.75" customHeight="1">
      <c r="C92" s="81">
        <v>42790</v>
      </c>
      <c r="D92" s="29">
        <v>4206.9</v>
      </c>
      <c r="F92" s="68"/>
      <c r="G92" s="427"/>
      <c r="H92" s="427"/>
      <c r="I92" s="118"/>
      <c r="J92" s="437"/>
      <c r="K92" s="437"/>
      <c r="L92" s="437"/>
      <c r="M92" s="437"/>
      <c r="N92" s="437"/>
      <c r="O92" s="430"/>
      <c r="P92" s="430"/>
    </row>
    <row r="93" spans="3:14" ht="15.75" customHeight="1">
      <c r="C93" s="81"/>
      <c r="F93" s="68"/>
      <c r="G93" s="421"/>
      <c r="H93" s="421"/>
      <c r="I93" s="124"/>
      <c r="J93" s="436"/>
      <c r="K93" s="436"/>
      <c r="L93" s="436"/>
      <c r="M93" s="436"/>
      <c r="N93" s="436"/>
    </row>
    <row r="94" spans="2:14" ht="18.75" customHeight="1">
      <c r="B94" s="425" t="s">
        <v>56</v>
      </c>
      <c r="C94" s="426"/>
      <c r="D94" s="133">
        <v>7713.34596</v>
      </c>
      <c r="E94" s="69"/>
      <c r="F94" s="125" t="s">
        <v>107</v>
      </c>
      <c r="G94" s="427"/>
      <c r="H94" s="427"/>
      <c r="I94" s="126"/>
      <c r="J94" s="436"/>
      <c r="K94" s="436"/>
      <c r="L94" s="436"/>
      <c r="M94" s="436"/>
      <c r="N94" s="436"/>
    </row>
    <row r="95" spans="6:13" ht="9.75" customHeight="1">
      <c r="F95" s="68"/>
      <c r="G95" s="427"/>
      <c r="H95" s="427"/>
      <c r="I95" s="68"/>
      <c r="J95" s="69"/>
      <c r="K95" s="69"/>
      <c r="L95" s="69"/>
      <c r="M95" s="69"/>
    </row>
    <row r="96" spans="2:13" ht="22.5" customHeight="1" hidden="1">
      <c r="B96" s="428" t="s">
        <v>59</v>
      </c>
      <c r="C96" s="429"/>
      <c r="D96" s="80">
        <v>0</v>
      </c>
      <c r="E96" s="51" t="s">
        <v>24</v>
      </c>
      <c r="F96" s="68"/>
      <c r="G96" s="427"/>
      <c r="H96" s="42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20"/>
      <c r="P98" s="42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9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07" sqref="E10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96" t="s">
        <v>143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7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8"/>
      <c r="B3" s="400"/>
      <c r="C3" s="401" t="s">
        <v>0</v>
      </c>
      <c r="D3" s="402" t="s">
        <v>134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123</v>
      </c>
      <c r="O3" s="409" t="s">
        <v>118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135</v>
      </c>
      <c r="F4" s="422" t="s">
        <v>33</v>
      </c>
      <c r="G4" s="410" t="s">
        <v>136</v>
      </c>
      <c r="H4" s="407" t="s">
        <v>137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124</v>
      </c>
      <c r="P4" s="410" t="s">
        <v>49</v>
      </c>
      <c r="Q4" s="412" t="s">
        <v>48</v>
      </c>
      <c r="R4" s="91" t="s">
        <v>64</v>
      </c>
      <c r="S4" s="92" t="s">
        <v>63</v>
      </c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142</v>
      </c>
      <c r="L5" s="414"/>
      <c r="M5" s="415"/>
      <c r="N5" s="408"/>
      <c r="O5" s="395"/>
      <c r="P5" s="411"/>
      <c r="Q5" s="412"/>
      <c r="R5" s="413" t="s">
        <v>102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24"/>
      <c r="H89" s="424"/>
      <c r="I89" s="424"/>
      <c r="J89" s="42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30"/>
      <c r="P90" s="430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27"/>
      <c r="H91" s="427"/>
      <c r="I91" s="118"/>
      <c r="J91" s="436"/>
      <c r="K91" s="436"/>
      <c r="L91" s="436"/>
      <c r="M91" s="436"/>
      <c r="N91" s="436"/>
      <c r="O91" s="430"/>
      <c r="P91" s="430"/>
    </row>
    <row r="92" spans="3:16" ht="15.75" customHeight="1">
      <c r="C92" s="81">
        <v>42762</v>
      </c>
      <c r="D92" s="29">
        <v>8862.4</v>
      </c>
      <c r="F92" s="68"/>
      <c r="G92" s="427"/>
      <c r="H92" s="427"/>
      <c r="I92" s="118"/>
      <c r="J92" s="437"/>
      <c r="K92" s="437"/>
      <c r="L92" s="437"/>
      <c r="M92" s="437"/>
      <c r="N92" s="437"/>
      <c r="O92" s="430"/>
      <c r="P92" s="430"/>
    </row>
    <row r="93" spans="3:14" ht="15.75" customHeight="1">
      <c r="C93" s="81"/>
      <c r="F93" s="68"/>
      <c r="G93" s="421"/>
      <c r="H93" s="421"/>
      <c r="I93" s="124"/>
      <c r="J93" s="436"/>
      <c r="K93" s="436"/>
      <c r="L93" s="436"/>
      <c r="M93" s="436"/>
      <c r="N93" s="436"/>
    </row>
    <row r="94" spans="2:14" ht="18.75" customHeight="1">
      <c r="B94" s="425" t="s">
        <v>56</v>
      </c>
      <c r="C94" s="426"/>
      <c r="D94" s="133">
        <f>9505303.41/1000</f>
        <v>9505.30341</v>
      </c>
      <c r="E94" s="69"/>
      <c r="F94" s="125" t="s">
        <v>107</v>
      </c>
      <c r="G94" s="427"/>
      <c r="H94" s="427"/>
      <c r="I94" s="126"/>
      <c r="J94" s="436"/>
      <c r="K94" s="436"/>
      <c r="L94" s="436"/>
      <c r="M94" s="436"/>
      <c r="N94" s="436"/>
    </row>
    <row r="95" spans="6:13" ht="9.75" customHeight="1">
      <c r="F95" s="68"/>
      <c r="G95" s="427"/>
      <c r="H95" s="427"/>
      <c r="I95" s="68"/>
      <c r="J95" s="69"/>
      <c r="K95" s="69"/>
      <c r="L95" s="69"/>
      <c r="M95" s="69"/>
    </row>
    <row r="96" spans="2:13" ht="22.5" customHeight="1" hidden="1">
      <c r="B96" s="428" t="s">
        <v>59</v>
      </c>
      <c r="C96" s="429"/>
      <c r="D96" s="80">
        <v>0</v>
      </c>
      <c r="E96" s="51" t="s">
        <v>24</v>
      </c>
      <c r="F96" s="68"/>
      <c r="G96" s="427"/>
      <c r="H96" s="42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20"/>
      <c r="P98" s="42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5" sqref="A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96" t="s">
        <v>132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7"/>
    </row>
    <row r="2" spans="2:19" s="1" customFormat="1" ht="15.75" customHeight="1">
      <c r="B2" s="397"/>
      <c r="C2" s="397"/>
      <c r="D2" s="397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8"/>
      <c r="B3" s="400"/>
      <c r="C3" s="401" t="s">
        <v>0</v>
      </c>
      <c r="D3" s="402" t="s">
        <v>126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129</v>
      </c>
      <c r="O3" s="409" t="s">
        <v>125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127</v>
      </c>
      <c r="F4" s="438" t="s">
        <v>33</v>
      </c>
      <c r="G4" s="410" t="s">
        <v>128</v>
      </c>
      <c r="H4" s="407" t="s">
        <v>122</v>
      </c>
      <c r="I4" s="410" t="s">
        <v>103</v>
      </c>
      <c r="J4" s="407" t="s">
        <v>104</v>
      </c>
      <c r="K4" s="85" t="s">
        <v>114</v>
      </c>
      <c r="L4" s="204" t="s">
        <v>113</v>
      </c>
      <c r="M4" s="90" t="s">
        <v>63</v>
      </c>
      <c r="N4" s="407"/>
      <c r="O4" s="394" t="s">
        <v>133</v>
      </c>
      <c r="P4" s="410" t="s">
        <v>49</v>
      </c>
      <c r="Q4" s="412" t="s">
        <v>48</v>
      </c>
      <c r="R4" s="91" t="s">
        <v>64</v>
      </c>
      <c r="S4" s="92" t="s">
        <v>63</v>
      </c>
    </row>
    <row r="5" spans="1:19" ht="67.5" customHeight="1">
      <c r="A5" s="399"/>
      <c r="B5" s="400"/>
      <c r="C5" s="401"/>
      <c r="D5" s="402"/>
      <c r="E5" s="393"/>
      <c r="F5" s="439"/>
      <c r="G5" s="411"/>
      <c r="H5" s="408"/>
      <c r="I5" s="411"/>
      <c r="J5" s="408"/>
      <c r="K5" s="413" t="s">
        <v>130</v>
      </c>
      <c r="L5" s="414"/>
      <c r="M5" s="415"/>
      <c r="N5" s="408"/>
      <c r="O5" s="395"/>
      <c r="P5" s="411"/>
      <c r="Q5" s="412"/>
      <c r="R5" s="413" t="s">
        <v>102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24"/>
      <c r="H89" s="424"/>
      <c r="I89" s="424"/>
      <c r="J89" s="42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30"/>
      <c r="P90" s="430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27"/>
      <c r="H91" s="427"/>
      <c r="I91" s="118"/>
      <c r="J91" s="436"/>
      <c r="K91" s="436"/>
      <c r="L91" s="436"/>
      <c r="M91" s="436"/>
      <c r="N91" s="436"/>
      <c r="O91" s="430"/>
      <c r="P91" s="430"/>
    </row>
    <row r="92" spans="3:16" ht="15.75" customHeight="1">
      <c r="C92" s="81">
        <v>42732</v>
      </c>
      <c r="D92" s="29">
        <v>19085.6</v>
      </c>
      <c r="F92" s="333"/>
      <c r="G92" s="427"/>
      <c r="H92" s="427"/>
      <c r="I92" s="118"/>
      <c r="J92" s="437"/>
      <c r="K92" s="437"/>
      <c r="L92" s="437"/>
      <c r="M92" s="437"/>
      <c r="N92" s="437"/>
      <c r="O92" s="430"/>
      <c r="P92" s="430"/>
    </row>
    <row r="93" spans="3:14" ht="15.75" customHeight="1">
      <c r="C93" s="81"/>
      <c r="F93" s="333"/>
      <c r="G93" s="421"/>
      <c r="H93" s="421"/>
      <c r="I93" s="124"/>
      <c r="J93" s="436"/>
      <c r="K93" s="436"/>
      <c r="L93" s="436"/>
      <c r="M93" s="436"/>
      <c r="N93" s="436"/>
    </row>
    <row r="94" spans="2:14" ht="18.75" customHeight="1">
      <c r="B94" s="425" t="s">
        <v>56</v>
      </c>
      <c r="C94" s="426"/>
      <c r="D94" s="133" t="e">
        <f>'[1]ЧТКЕ'!$G$6/1000</f>
        <v>#VALUE!</v>
      </c>
      <c r="E94" s="69"/>
      <c r="F94" s="334" t="s">
        <v>107</v>
      </c>
      <c r="G94" s="427"/>
      <c r="H94" s="427"/>
      <c r="I94" s="126"/>
      <c r="J94" s="436"/>
      <c r="K94" s="436"/>
      <c r="L94" s="436"/>
      <c r="M94" s="436"/>
      <c r="N94" s="436"/>
    </row>
    <row r="95" spans="6:13" ht="9" customHeight="1">
      <c r="F95" s="333"/>
      <c r="G95" s="427"/>
      <c r="H95" s="427"/>
      <c r="I95" s="68"/>
      <c r="J95" s="69"/>
      <c r="K95" s="69"/>
      <c r="L95" s="69"/>
      <c r="M95" s="69"/>
    </row>
    <row r="96" spans="2:13" ht="22.5" customHeight="1" hidden="1">
      <c r="B96" s="428" t="s">
        <v>59</v>
      </c>
      <c r="C96" s="429"/>
      <c r="D96" s="80">
        <v>0</v>
      </c>
      <c r="E96" s="51" t="s">
        <v>24</v>
      </c>
      <c r="F96" s="333"/>
      <c r="G96" s="427"/>
      <c r="H96" s="427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20"/>
      <c r="P98" s="420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4" sqref="I4:I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96" t="s">
        <v>260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86"/>
      <c r="Y1" s="86"/>
    </row>
    <row r="2" spans="2:25" s="1" customFormat="1" ht="15.75" customHeight="1">
      <c r="B2" s="397"/>
      <c r="C2" s="397"/>
      <c r="D2" s="397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06" t="s">
        <v>244</v>
      </c>
      <c r="U3" s="409" t="s">
        <v>252</v>
      </c>
      <c r="V3" s="409"/>
      <c r="W3" s="409"/>
      <c r="X3" s="409"/>
      <c r="Y3" s="409"/>
    </row>
    <row r="4" spans="1:25" ht="22.5" customHeight="1">
      <c r="A4" s="398"/>
      <c r="B4" s="400"/>
      <c r="C4" s="401"/>
      <c r="D4" s="402"/>
      <c r="E4" s="392" t="s">
        <v>249</v>
      </c>
      <c r="F4" s="422" t="s">
        <v>33</v>
      </c>
      <c r="G4" s="410" t="s">
        <v>250</v>
      </c>
      <c r="H4" s="407" t="s">
        <v>251</v>
      </c>
      <c r="I4" s="410" t="s">
        <v>138</v>
      </c>
      <c r="J4" s="40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07"/>
      <c r="U4" s="394" t="s">
        <v>261</v>
      </c>
      <c r="V4" s="410" t="s">
        <v>49</v>
      </c>
      <c r="W4" s="412" t="s">
        <v>48</v>
      </c>
      <c r="X4" s="91" t="s">
        <v>64</v>
      </c>
      <c r="Y4" s="91"/>
    </row>
    <row r="5" spans="1:25" ht="77.2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247</v>
      </c>
      <c r="L5" s="414"/>
      <c r="M5" s="415"/>
      <c r="N5" s="431" t="s">
        <v>248</v>
      </c>
      <c r="O5" s="432"/>
      <c r="P5" s="433"/>
      <c r="Q5" s="419" t="s">
        <v>253</v>
      </c>
      <c r="R5" s="419"/>
      <c r="S5" s="419"/>
      <c r="T5" s="408"/>
      <c r="U5" s="395"/>
      <c r="V5" s="411"/>
      <c r="W5" s="412"/>
      <c r="X5" s="434" t="s">
        <v>215</v>
      </c>
      <c r="Y5" s="43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30"/>
      <c r="V93" s="430"/>
    </row>
    <row r="94" spans="3:22" ht="15">
      <c r="C94" s="81">
        <v>43038</v>
      </c>
      <c r="D94" s="29">
        <v>12345.6</v>
      </c>
      <c r="G94" s="427"/>
      <c r="H94" s="427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30"/>
      <c r="V94" s="430"/>
    </row>
    <row r="95" spans="3:22" ht="15.75" customHeight="1">
      <c r="C95" s="81">
        <v>43035</v>
      </c>
      <c r="D95" s="29">
        <v>10115.9</v>
      </c>
      <c r="F95" s="68"/>
      <c r="G95" s="427"/>
      <c r="H95" s="427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30"/>
      <c r="V95" s="430"/>
    </row>
    <row r="96" spans="3:20" ht="15.75" customHeight="1">
      <c r="C96" s="81"/>
      <c r="F96" s="68"/>
      <c r="G96" s="421"/>
      <c r="H96" s="421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25" t="s">
        <v>56</v>
      </c>
      <c r="C97" s="426"/>
      <c r="D97" s="133">
        <v>0</v>
      </c>
      <c r="E97" s="69"/>
      <c r="F97" s="125" t="s">
        <v>107</v>
      </c>
      <c r="G97" s="427"/>
      <c r="H97" s="427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27"/>
      <c r="H98" s="427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20"/>
      <c r="V101" s="420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G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97" sqref="B97:C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396" t="s">
        <v>242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86"/>
      <c r="Y1" s="86"/>
      <c r="Z1" s="312"/>
    </row>
    <row r="2" spans="2:26" s="1" customFormat="1" ht="15.75" customHeight="1">
      <c r="B2" s="397"/>
      <c r="C2" s="397"/>
      <c r="D2" s="397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06" t="s">
        <v>239</v>
      </c>
      <c r="U3" s="409" t="s">
        <v>241</v>
      </c>
      <c r="V3" s="409"/>
      <c r="W3" s="409"/>
      <c r="X3" s="409"/>
      <c r="Y3" s="409"/>
      <c r="Z3" s="359"/>
    </row>
    <row r="4" spans="1:25" ht="22.5" customHeight="1">
      <c r="A4" s="398"/>
      <c r="B4" s="400"/>
      <c r="C4" s="401"/>
      <c r="D4" s="402"/>
      <c r="E4" s="392" t="s">
        <v>236</v>
      </c>
      <c r="F4" s="422" t="s">
        <v>33</v>
      </c>
      <c r="G4" s="410" t="s">
        <v>237</v>
      </c>
      <c r="H4" s="407" t="s">
        <v>238</v>
      </c>
      <c r="I4" s="410" t="s">
        <v>138</v>
      </c>
      <c r="J4" s="40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07"/>
      <c r="U4" s="394" t="s">
        <v>243</v>
      </c>
      <c r="V4" s="410" t="s">
        <v>49</v>
      </c>
      <c r="W4" s="412" t="s">
        <v>48</v>
      </c>
      <c r="X4" s="91" t="s">
        <v>64</v>
      </c>
      <c r="Y4" s="91"/>
    </row>
    <row r="5" spans="1:25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247</v>
      </c>
      <c r="L5" s="414"/>
      <c r="M5" s="415"/>
      <c r="N5" s="416" t="s">
        <v>248</v>
      </c>
      <c r="O5" s="417"/>
      <c r="P5" s="418"/>
      <c r="Q5" s="419" t="s">
        <v>240</v>
      </c>
      <c r="R5" s="419"/>
      <c r="S5" s="419"/>
      <c r="T5" s="408"/>
      <c r="U5" s="395"/>
      <c r="V5" s="411"/>
      <c r="W5" s="412"/>
      <c r="X5" s="434" t="s">
        <v>215</v>
      </c>
      <c r="Y5" s="43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>
      <c r="B90" s="20" t="s">
        <v>34</v>
      </c>
      <c r="U90" s="25"/>
      <c r="Z90" s="363">
        <f t="shared" si="40"/>
        <v>0</v>
      </c>
    </row>
    <row r="91" spans="2:26" ht="15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>
      <c r="B92" s="52" t="s">
        <v>53</v>
      </c>
      <c r="C92" s="29" t="e">
        <f>IF(V67&lt;0,ABS(V67/C91),0)</f>
        <v>#DIV/0!</v>
      </c>
      <c r="D92" s="4" t="s">
        <v>24</v>
      </c>
      <c r="G92" s="424"/>
      <c r="H92" s="424"/>
      <c r="I92" s="424"/>
      <c r="J92" s="424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430"/>
      <c r="V93" s="430"/>
      <c r="Z93" s="363">
        <f t="shared" si="40"/>
        <v>0</v>
      </c>
    </row>
    <row r="94" spans="3:26" ht="15">
      <c r="C94" s="81">
        <v>43006</v>
      </c>
      <c r="D94" s="29">
        <v>10724.7</v>
      </c>
      <c r="G94" s="427"/>
      <c r="H94" s="427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30"/>
      <c r="V94" s="430"/>
      <c r="Z94" s="363">
        <f t="shared" si="40"/>
        <v>0</v>
      </c>
    </row>
    <row r="95" spans="3:26" ht="15.75" customHeight="1">
      <c r="C95" s="81">
        <v>43005</v>
      </c>
      <c r="D95" s="29">
        <v>4636.5</v>
      </c>
      <c r="F95" s="68"/>
      <c r="G95" s="427"/>
      <c r="H95" s="427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30"/>
      <c r="V95" s="430"/>
      <c r="Z95" s="363">
        <f t="shared" si="40"/>
        <v>0</v>
      </c>
    </row>
    <row r="96" spans="3:26" ht="15.75" customHeight="1">
      <c r="C96" s="81"/>
      <c r="F96" s="68"/>
      <c r="G96" s="421"/>
      <c r="H96" s="421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>
      <c r="B97" s="425" t="s">
        <v>56</v>
      </c>
      <c r="C97" s="426"/>
      <c r="D97" s="133">
        <v>980.44</v>
      </c>
      <c r="E97" s="69"/>
      <c r="F97" s="125" t="s">
        <v>107</v>
      </c>
      <c r="G97" s="427"/>
      <c r="H97" s="427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27"/>
      <c r="H98" s="427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28" t="s">
        <v>59</v>
      </c>
      <c r="C99" s="429"/>
      <c r="D99" s="80"/>
      <c r="E99" s="51" t="s">
        <v>24</v>
      </c>
      <c r="F99" s="68"/>
      <c r="G99" s="427"/>
      <c r="H99" s="427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20"/>
      <c r="V101" s="420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  <row r="158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3" fitToWidth="1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91" sqref="K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96" t="s">
        <v>233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230</v>
      </c>
      <c r="O3" s="409" t="s">
        <v>235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227</v>
      </c>
      <c r="F4" s="422" t="s">
        <v>33</v>
      </c>
      <c r="G4" s="410" t="s">
        <v>228</v>
      </c>
      <c r="H4" s="407" t="s">
        <v>229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234</v>
      </c>
      <c r="P4" s="410" t="s">
        <v>49</v>
      </c>
      <c r="Q4" s="412" t="s">
        <v>48</v>
      </c>
      <c r="R4" s="91" t="s">
        <v>64</v>
      </c>
      <c r="S4" s="91"/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231</v>
      </c>
      <c r="L5" s="414"/>
      <c r="M5" s="415"/>
      <c r="N5" s="408"/>
      <c r="O5" s="395"/>
      <c r="P5" s="411"/>
      <c r="Q5" s="412"/>
      <c r="R5" s="434" t="s">
        <v>215</v>
      </c>
      <c r="S5" s="43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30"/>
      <c r="P93" s="430"/>
    </row>
    <row r="94" spans="3:16" ht="15">
      <c r="C94" s="81">
        <v>42977</v>
      </c>
      <c r="D94" s="29">
        <v>9672.2</v>
      </c>
      <c r="G94" s="427"/>
      <c r="H94" s="427"/>
      <c r="I94" s="118"/>
      <c r="J94" s="295"/>
      <c r="K94" s="295"/>
      <c r="L94" s="295"/>
      <c r="M94" s="295"/>
      <c r="N94" s="295"/>
      <c r="O94" s="430"/>
      <c r="P94" s="430"/>
    </row>
    <row r="95" spans="3:16" ht="15.75" customHeight="1">
      <c r="C95" s="81">
        <v>42976</v>
      </c>
      <c r="D95" s="29">
        <v>5224.7</v>
      </c>
      <c r="F95" s="68"/>
      <c r="G95" s="427"/>
      <c r="H95" s="427"/>
      <c r="I95" s="118"/>
      <c r="J95" s="296"/>
      <c r="K95" s="296"/>
      <c r="L95" s="296"/>
      <c r="M95" s="296"/>
      <c r="N95" s="296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295"/>
      <c r="K96" s="295"/>
      <c r="L96" s="295"/>
      <c r="M96" s="295"/>
      <c r="N96" s="295"/>
    </row>
    <row r="97" spans="2:14" ht="18" customHeight="1">
      <c r="B97" s="425" t="s">
        <v>56</v>
      </c>
      <c r="C97" s="426"/>
      <c r="D97" s="133">
        <v>8826.98</v>
      </c>
      <c r="E97" s="69"/>
      <c r="F97" s="125" t="s">
        <v>107</v>
      </c>
      <c r="G97" s="427"/>
      <c r="H97" s="427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88" sqref="K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96" t="s">
        <v>232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218</v>
      </c>
      <c r="O3" s="409" t="s">
        <v>220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219</v>
      </c>
      <c r="F4" s="422" t="s">
        <v>33</v>
      </c>
      <c r="G4" s="410" t="s">
        <v>221</v>
      </c>
      <c r="H4" s="407" t="s">
        <v>222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226</v>
      </c>
      <c r="P4" s="410" t="s">
        <v>49</v>
      </c>
      <c r="Q4" s="412" t="s">
        <v>48</v>
      </c>
      <c r="R4" s="91" t="s">
        <v>64</v>
      </c>
      <c r="S4" s="91"/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225</v>
      </c>
      <c r="L5" s="414"/>
      <c r="M5" s="415"/>
      <c r="N5" s="408"/>
      <c r="O5" s="395"/>
      <c r="P5" s="411"/>
      <c r="Q5" s="412"/>
      <c r="R5" s="434" t="s">
        <v>215</v>
      </c>
      <c r="S5" s="43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30"/>
      <c r="P93" s="430"/>
    </row>
    <row r="94" spans="3:16" ht="15">
      <c r="C94" s="81">
        <v>42944</v>
      </c>
      <c r="D94" s="29">
        <v>13586.1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42943</v>
      </c>
      <c r="D95" s="29">
        <v>6106.3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12794.02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 hidden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96" t="s">
        <v>216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212</v>
      </c>
      <c r="O3" s="409" t="s">
        <v>213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209</v>
      </c>
      <c r="F4" s="422" t="s">
        <v>33</v>
      </c>
      <c r="G4" s="410" t="s">
        <v>210</v>
      </c>
      <c r="H4" s="407" t="s">
        <v>211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217</v>
      </c>
      <c r="P4" s="410" t="s">
        <v>49</v>
      </c>
      <c r="Q4" s="412" t="s">
        <v>48</v>
      </c>
      <c r="R4" s="91" t="s">
        <v>64</v>
      </c>
      <c r="S4" s="91"/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214</v>
      </c>
      <c r="L5" s="414"/>
      <c r="M5" s="415"/>
      <c r="N5" s="408"/>
      <c r="O5" s="395"/>
      <c r="P5" s="411"/>
      <c r="Q5" s="412"/>
      <c r="R5" s="434" t="s">
        <v>215</v>
      </c>
      <c r="S5" s="43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30"/>
      <c r="P93" s="430"/>
    </row>
    <row r="94" spans="3:16" ht="15">
      <c r="C94" s="81">
        <v>42913</v>
      </c>
      <c r="D94" s="29">
        <v>9872.9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42912</v>
      </c>
      <c r="D95" s="29">
        <v>4876.1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225.52589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20"/>
      <c r="P101" s="420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96" t="s">
        <v>207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  <c r="T1" s="86"/>
      <c r="U1" s="87"/>
    </row>
    <row r="2" spans="2:21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201</v>
      </c>
      <c r="O3" s="409" t="s">
        <v>202</v>
      </c>
      <c r="P3" s="409"/>
      <c r="Q3" s="409"/>
      <c r="R3" s="409"/>
      <c r="S3" s="409"/>
      <c r="T3" s="409"/>
      <c r="U3" s="409"/>
    </row>
    <row r="4" spans="1:21" ht="22.5" customHeight="1">
      <c r="A4" s="398"/>
      <c r="B4" s="400"/>
      <c r="C4" s="401"/>
      <c r="D4" s="402"/>
      <c r="E4" s="392" t="s">
        <v>198</v>
      </c>
      <c r="F4" s="422" t="s">
        <v>33</v>
      </c>
      <c r="G4" s="410" t="s">
        <v>199</v>
      </c>
      <c r="H4" s="407" t="s">
        <v>200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208</v>
      </c>
      <c r="P4" s="410" t="s">
        <v>49</v>
      </c>
      <c r="Q4" s="41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204</v>
      </c>
      <c r="L5" s="414"/>
      <c r="M5" s="415"/>
      <c r="N5" s="408"/>
      <c r="O5" s="395"/>
      <c r="P5" s="411"/>
      <c r="Q5" s="412"/>
      <c r="R5" s="434" t="s">
        <v>203</v>
      </c>
      <c r="S5" s="435"/>
      <c r="T5" s="419" t="s">
        <v>194</v>
      </c>
      <c r="U5" s="41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30"/>
      <c r="P93" s="430"/>
    </row>
    <row r="94" spans="3:16" ht="15">
      <c r="C94" s="81">
        <v>42885</v>
      </c>
      <c r="D94" s="29">
        <v>10664.9</v>
      </c>
      <c r="F94" s="113" t="s">
        <v>58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42884</v>
      </c>
      <c r="D95" s="29">
        <v>6919.44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1135.71022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 hidden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96" t="s">
        <v>196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  <c r="T1" s="86"/>
      <c r="U1" s="87"/>
    </row>
    <row r="2" spans="2:21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191</v>
      </c>
      <c r="O3" s="409" t="s">
        <v>190</v>
      </c>
      <c r="P3" s="409"/>
      <c r="Q3" s="409"/>
      <c r="R3" s="409"/>
      <c r="S3" s="409"/>
      <c r="T3" s="409"/>
      <c r="U3" s="409"/>
    </row>
    <row r="4" spans="1:21" ht="22.5" customHeight="1">
      <c r="A4" s="398"/>
      <c r="B4" s="400"/>
      <c r="C4" s="401"/>
      <c r="D4" s="402"/>
      <c r="E4" s="392" t="s">
        <v>187</v>
      </c>
      <c r="F4" s="422" t="s">
        <v>33</v>
      </c>
      <c r="G4" s="410" t="s">
        <v>188</v>
      </c>
      <c r="H4" s="407" t="s">
        <v>189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197</v>
      </c>
      <c r="P4" s="410" t="s">
        <v>49</v>
      </c>
      <c r="Q4" s="41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192</v>
      </c>
      <c r="L5" s="414"/>
      <c r="M5" s="415"/>
      <c r="N5" s="408"/>
      <c r="O5" s="395"/>
      <c r="P5" s="411"/>
      <c r="Q5" s="412"/>
      <c r="R5" s="434" t="s">
        <v>193</v>
      </c>
      <c r="S5" s="435"/>
      <c r="T5" s="419" t="s">
        <v>194</v>
      </c>
      <c r="U5" s="41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30"/>
      <c r="P93" s="430"/>
    </row>
    <row r="94" spans="3:16" ht="15">
      <c r="C94" s="81">
        <v>42852</v>
      </c>
      <c r="D94" s="29">
        <v>13266.8</v>
      </c>
      <c r="F94" s="113" t="s">
        <v>58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42851</v>
      </c>
      <c r="D95" s="29">
        <v>6064.2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102.57358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 hidden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91" sqref="K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96" t="s">
        <v>185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7"/>
      <c r="T1" s="246"/>
      <c r="U1" s="249"/>
      <c r="V1" s="259"/>
      <c r="W1" s="259"/>
    </row>
    <row r="2" spans="2:23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163</v>
      </c>
      <c r="O3" s="409" t="s">
        <v>164</v>
      </c>
      <c r="P3" s="409"/>
      <c r="Q3" s="409"/>
      <c r="R3" s="409"/>
      <c r="S3" s="409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98"/>
      <c r="B4" s="400"/>
      <c r="C4" s="401"/>
      <c r="D4" s="402"/>
      <c r="E4" s="392" t="s">
        <v>153</v>
      </c>
      <c r="F4" s="422" t="s">
        <v>33</v>
      </c>
      <c r="G4" s="410" t="s">
        <v>162</v>
      </c>
      <c r="H4" s="407" t="s">
        <v>176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186</v>
      </c>
      <c r="P4" s="410" t="s">
        <v>49</v>
      </c>
      <c r="Q4" s="412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169</v>
      </c>
      <c r="L5" s="414"/>
      <c r="M5" s="415"/>
      <c r="N5" s="408"/>
      <c r="O5" s="395"/>
      <c r="P5" s="411"/>
      <c r="Q5" s="412"/>
      <c r="R5" s="413" t="s">
        <v>102</v>
      </c>
      <c r="S5" s="415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30"/>
      <c r="P93" s="430"/>
    </row>
    <row r="94" spans="3:16" ht="15">
      <c r="C94" s="81">
        <v>42824</v>
      </c>
      <c r="D94" s="29">
        <v>11112.7</v>
      </c>
      <c r="F94" s="113" t="s">
        <v>58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42823</v>
      </c>
      <c r="D95" s="29">
        <v>8830.3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1399.2856000000002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2017-11-27T08:25:05Z</cp:lastPrinted>
  <dcterms:created xsi:type="dcterms:W3CDTF">2003-07-28T11:27:56Z</dcterms:created>
  <dcterms:modified xsi:type="dcterms:W3CDTF">2017-11-27T08:41:23Z</dcterms:modified>
  <cp:category/>
  <cp:version/>
  <cp:contentType/>
  <cp:contentStatus/>
</cp:coreProperties>
</file>